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Users\sinman\Desktop\"/>
    </mc:Choice>
  </mc:AlternateContent>
  <xr:revisionPtr revIDLastSave="0" documentId="13_ncr:1_{37375D57-18D4-4A8D-8AB7-641C06CC8B25}"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97" i="5" l="1"/>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T569" i="5"/>
  <c r="V568" i="5"/>
  <c r="V566" i="5"/>
  <c r="V564" i="5"/>
  <c r="V563" i="5"/>
  <c r="S562" i="5"/>
  <c r="V560" i="5"/>
  <c r="V559" i="5"/>
  <c r="T559" i="5"/>
  <c r="V558" i="5"/>
  <c r="T557" i="5"/>
  <c r="V555" i="5"/>
  <c r="V552" i="5"/>
  <c r="AB552" i="5"/>
  <c r="V551" i="5"/>
  <c r="V550" i="5"/>
  <c r="V548" i="5"/>
  <c r="V547" i="5"/>
  <c r="V546" i="5"/>
  <c r="V544" i="5"/>
  <c r="V543" i="5"/>
  <c r="V542" i="5"/>
  <c r="T541" i="5"/>
  <c r="V540" i="5"/>
  <c r="V539" i="5"/>
  <c r="T539" i="5"/>
  <c r="V536" i="5"/>
  <c r="V535" i="5"/>
  <c r="V532" i="5"/>
  <c r="V531" i="5"/>
  <c r="V530" i="5"/>
  <c r="V528" i="5"/>
  <c r="V527" i="5"/>
  <c r="V526" i="5"/>
  <c r="V523" i="5"/>
  <c r="S521" i="5"/>
  <c r="V520" i="5"/>
  <c r="V519" i="5"/>
  <c r="S518" i="5"/>
  <c r="T517" i="5"/>
  <c r="V516" i="5"/>
  <c r="V515" i="5"/>
  <c r="T515" i="5"/>
  <c r="V514" i="5"/>
  <c r="T513" i="5"/>
  <c r="V512" i="5"/>
  <c r="V511" i="5"/>
  <c r="V510" i="5"/>
  <c r="V508" i="5"/>
  <c r="V507" i="5"/>
  <c r="S506" i="5"/>
  <c r="V504" i="5"/>
  <c r="V503" i="5"/>
  <c r="T503" i="5"/>
  <c r="V500" i="5"/>
  <c r="V499" i="5"/>
  <c r="V498" i="5"/>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V77" i="5"/>
  <c r="T77" i="5"/>
  <c r="V76" i="5"/>
  <c r="V75" i="5"/>
  <c r="V74" i="5"/>
  <c r="V73" i="5"/>
  <c r="T73" i="5"/>
  <c r="V72" i="5"/>
  <c r="V70" i="5"/>
  <c r="S70" i="5"/>
  <c r="V69" i="5"/>
  <c r="V68" i="5"/>
  <c r="T68" i="5"/>
  <c r="V67" i="5"/>
  <c r="V66" i="5"/>
  <c r="V65" i="5"/>
  <c r="T65" i="5"/>
  <c r="V64" i="5"/>
  <c r="V63" i="5"/>
  <c r="V62" i="5"/>
  <c r="V61" i="5"/>
  <c r="V60" i="5"/>
  <c r="T60" i="5"/>
  <c r="V59" i="5"/>
  <c r="V58" i="5"/>
  <c r="V57" i="5"/>
  <c r="V56" i="5"/>
  <c r="V55" i="5"/>
  <c r="V54" i="5"/>
  <c r="V53" i="5"/>
  <c r="T53" i="5"/>
  <c r="V52" i="5"/>
  <c r="T52" i="5"/>
  <c r="V51" i="5"/>
  <c r="V50" i="5"/>
  <c r="V49" i="5"/>
  <c r="T49" i="5"/>
  <c r="V48" i="5"/>
  <c r="S48" i="5"/>
  <c r="V47" i="5"/>
  <c r="V46" i="5"/>
  <c r="V45" i="5"/>
  <c r="T45" i="5"/>
  <c r="V44" i="5"/>
  <c r="V42" i="5"/>
  <c r="V41" i="5"/>
  <c r="V40" i="5"/>
  <c r="T40" i="5"/>
  <c r="V39" i="5"/>
  <c r="V38" i="5"/>
  <c r="V37" i="5"/>
  <c r="T37" i="5"/>
  <c r="V36" i="5"/>
  <c r="V35" i="5"/>
  <c r="V34" i="5"/>
  <c r="V33" i="5"/>
  <c r="T33" i="5"/>
  <c r="V32" i="5"/>
  <c r="V31" i="5"/>
  <c r="V30" i="5"/>
  <c r="V29" i="5"/>
  <c r="V28" i="5"/>
  <c r="T28" i="5"/>
  <c r="V27" i="5"/>
  <c r="V26" i="5"/>
  <c r="T26" i="5"/>
  <c r="V25" i="5"/>
  <c r="V24" i="5"/>
  <c r="V23" i="5"/>
  <c r="V22" i="5"/>
  <c r="V21" i="5"/>
  <c r="V20" i="5"/>
  <c r="T20" i="5"/>
  <c r="V19" i="5"/>
  <c r="T19" i="5"/>
  <c r="AB18" i="5"/>
  <c r="V18" i="5"/>
  <c r="V6" i="5"/>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558" i="5"/>
  <c r="S550" i="5"/>
  <c r="S515" i="5"/>
  <c r="S514" i="5"/>
  <c r="T507" i="5"/>
  <c r="S497" i="5"/>
  <c r="S567" i="5"/>
  <c r="T563" i="5"/>
  <c r="T549" i="5"/>
  <c r="S546" i="5"/>
  <c r="S542" i="5"/>
  <c r="S522" i="5"/>
  <c r="S538" i="5"/>
  <c r="S534" i="5"/>
  <c r="S530" i="5"/>
  <c r="S505" i="5"/>
  <c r="S502" i="5"/>
  <c r="T561" i="5"/>
  <c r="S554" i="5"/>
  <c r="S537" i="5"/>
  <c r="S525" i="5"/>
  <c r="S501" i="5"/>
  <c r="S498" i="5"/>
  <c r="T509" i="5"/>
  <c r="T36" i="5"/>
  <c r="T61" i="5"/>
  <c r="S38" i="5"/>
  <c r="T64" i="5"/>
  <c r="S58" i="5"/>
  <c r="S74" i="5"/>
  <c r="S50" i="5"/>
  <c r="S22" i="5"/>
  <c r="S54" i="5"/>
  <c r="T41" i="5"/>
  <c r="S46" i="5"/>
  <c r="T76" i="5"/>
  <c r="S76" i="5"/>
  <c r="T69" i="5"/>
  <c r="S44" i="5"/>
  <c r="T72" i="5"/>
  <c r="T57" i="5"/>
  <c r="T56" i="5"/>
  <c r="S62" i="5"/>
  <c r="S66" i="5"/>
  <c r="S42" i="5"/>
  <c r="S34" i="5"/>
  <c r="R69" i="5" l="1"/>
  <c r="R37" i="5"/>
  <c r="R66" i="5"/>
  <c r="X23" i="5"/>
  <c r="X38" i="5"/>
  <c r="R45" i="5"/>
  <c r="X45" i="5"/>
  <c r="R48" i="5"/>
  <c r="R53" i="5"/>
  <c r="R60" i="5"/>
  <c r="R64" i="5"/>
  <c r="R20" i="5"/>
  <c r="R24" i="5"/>
  <c r="X27" i="5"/>
  <c r="R33" i="5"/>
  <c r="R36" i="5"/>
  <c r="X42" i="5"/>
  <c r="R46" i="5"/>
  <c r="X58" i="5"/>
  <c r="X61" i="5"/>
  <c r="X74" i="5"/>
  <c r="R6" i="5"/>
  <c r="R32" i="5"/>
  <c r="R40" i="5"/>
  <c r="R50" i="5"/>
  <c r="R56" i="5"/>
  <c r="R76" i="5"/>
  <c r="R34" i="5"/>
  <c r="R44" i="5"/>
  <c r="R49" i="5"/>
  <c r="R52" i="5"/>
  <c r="R62" i="5"/>
  <c r="R65" i="5"/>
  <c r="X65" i="5"/>
  <c r="R68" i="5"/>
  <c r="R72" i="5"/>
  <c r="R514" i="5"/>
  <c r="G514" i="5"/>
  <c r="H514" i="5"/>
  <c r="E514" i="5"/>
  <c r="X514" i="5" s="1"/>
  <c r="I514" i="5"/>
  <c r="F514" i="5"/>
  <c r="J514" i="5"/>
  <c r="E528" i="5"/>
  <c r="X528" i="5" s="1"/>
  <c r="I528" i="5"/>
  <c r="J528" i="5"/>
  <c r="F528" i="5"/>
  <c r="G528" i="5"/>
  <c r="H528" i="5"/>
  <c r="R548" i="5"/>
  <c r="G548" i="5"/>
  <c r="H548" i="5"/>
  <c r="J548" i="5"/>
  <c r="E548" i="5"/>
  <c r="I548" i="5"/>
  <c r="F548" i="5"/>
  <c r="R500" i="5"/>
  <c r="G500" i="5"/>
  <c r="H500" i="5"/>
  <c r="E500" i="5"/>
  <c r="X500" i="5" s="1"/>
  <c r="I500" i="5"/>
  <c r="F500" i="5"/>
  <c r="J500" i="5"/>
  <c r="G511" i="5"/>
  <c r="H511" i="5"/>
  <c r="E511" i="5"/>
  <c r="I511" i="5"/>
  <c r="F511" i="5"/>
  <c r="J511" i="5"/>
  <c r="H523" i="5"/>
  <c r="E523" i="5"/>
  <c r="I523" i="5"/>
  <c r="J523" i="5"/>
  <c r="F523" i="5"/>
  <c r="G523" i="5"/>
  <c r="R528" i="5"/>
  <c r="E535" i="5"/>
  <c r="I535" i="5"/>
  <c r="H535" i="5"/>
  <c r="J535" i="5"/>
  <c r="F535" i="5"/>
  <c r="G535" i="5"/>
  <c r="J540" i="5"/>
  <c r="H540" i="5"/>
  <c r="E540" i="5"/>
  <c r="I540" i="5"/>
  <c r="F540" i="5"/>
  <c r="G540" i="5"/>
  <c r="G544" i="5"/>
  <c r="F544" i="5"/>
  <c r="H544" i="5"/>
  <c r="J544" i="5"/>
  <c r="E544" i="5"/>
  <c r="I544" i="5"/>
  <c r="R550" i="5"/>
  <c r="G550" i="5"/>
  <c r="J550" i="5"/>
  <c r="H550" i="5"/>
  <c r="E550" i="5"/>
  <c r="I550" i="5"/>
  <c r="F550" i="5"/>
  <c r="G555" i="5"/>
  <c r="F555" i="5"/>
  <c r="H555" i="5"/>
  <c r="E555" i="5"/>
  <c r="I555" i="5"/>
  <c r="J555" i="5"/>
  <c r="G559" i="5"/>
  <c r="F559" i="5"/>
  <c r="H559" i="5"/>
  <c r="E559" i="5"/>
  <c r="I559" i="5"/>
  <c r="J559" i="5"/>
  <c r="G564" i="5"/>
  <c r="J564" i="5"/>
  <c r="H564" i="5"/>
  <c r="E564" i="5"/>
  <c r="I564" i="5"/>
  <c r="F564" i="5"/>
  <c r="G499" i="5"/>
  <c r="H499" i="5"/>
  <c r="E499" i="5"/>
  <c r="I499" i="5"/>
  <c r="F499" i="5"/>
  <c r="J499" i="5"/>
  <c r="G504" i="5"/>
  <c r="H504" i="5"/>
  <c r="E504" i="5"/>
  <c r="X504" i="5" s="1"/>
  <c r="I504" i="5"/>
  <c r="F504" i="5"/>
  <c r="J504" i="5"/>
  <c r="E532" i="5"/>
  <c r="I532" i="5"/>
  <c r="J532" i="5"/>
  <c r="F532" i="5"/>
  <c r="H532" i="5"/>
  <c r="G532" i="5"/>
  <c r="G543" i="5"/>
  <c r="H543" i="5"/>
  <c r="J543" i="5"/>
  <c r="E543" i="5"/>
  <c r="I543" i="5"/>
  <c r="F543" i="5"/>
  <c r="G563" i="5"/>
  <c r="F563" i="5"/>
  <c r="H563" i="5"/>
  <c r="J563" i="5"/>
  <c r="E563" i="5"/>
  <c r="X563" i="5" s="1"/>
  <c r="I563" i="5"/>
  <c r="G507" i="5"/>
  <c r="H507" i="5"/>
  <c r="E507" i="5"/>
  <c r="X507" i="5" s="1"/>
  <c r="I507" i="5"/>
  <c r="F507" i="5"/>
  <c r="J507" i="5"/>
  <c r="G512" i="5"/>
  <c r="H512" i="5"/>
  <c r="E512" i="5"/>
  <c r="I512" i="5"/>
  <c r="F512" i="5"/>
  <c r="J512" i="5"/>
  <c r="H515" i="5"/>
  <c r="E515" i="5"/>
  <c r="X515" i="5" s="1"/>
  <c r="I515" i="5"/>
  <c r="J515" i="5"/>
  <c r="F515" i="5"/>
  <c r="G515" i="5"/>
  <c r="H519" i="5"/>
  <c r="E519" i="5"/>
  <c r="I519" i="5"/>
  <c r="J519" i="5"/>
  <c r="F519" i="5"/>
  <c r="G519" i="5"/>
  <c r="E526" i="5"/>
  <c r="I526" i="5"/>
  <c r="J526" i="5"/>
  <c r="F526" i="5"/>
  <c r="G526" i="5"/>
  <c r="H526" i="5"/>
  <c r="R530" i="5"/>
  <c r="E530" i="5"/>
  <c r="I530" i="5"/>
  <c r="J530" i="5"/>
  <c r="F530" i="5"/>
  <c r="G530" i="5"/>
  <c r="H530" i="5"/>
  <c r="E536" i="5"/>
  <c r="X536" i="5" s="1"/>
  <c r="I536" i="5"/>
  <c r="J536" i="5"/>
  <c r="F536" i="5"/>
  <c r="H536" i="5"/>
  <c r="G536" i="5"/>
  <c r="R546" i="5"/>
  <c r="G546" i="5"/>
  <c r="H546" i="5"/>
  <c r="F546" i="5"/>
  <c r="E546" i="5"/>
  <c r="I546" i="5"/>
  <c r="J546" i="5"/>
  <c r="G551" i="5"/>
  <c r="H551" i="5"/>
  <c r="J551" i="5"/>
  <c r="E551" i="5"/>
  <c r="I551" i="5"/>
  <c r="F551" i="5"/>
  <c r="G560" i="5"/>
  <c r="H560" i="5"/>
  <c r="J560" i="5"/>
  <c r="E560" i="5"/>
  <c r="I560" i="5"/>
  <c r="F560" i="5"/>
  <c r="G566" i="5"/>
  <c r="F566" i="5"/>
  <c r="H566" i="5"/>
  <c r="J566" i="5"/>
  <c r="E566" i="5"/>
  <c r="X566" i="5" s="1"/>
  <c r="I566" i="5"/>
  <c r="G510" i="5"/>
  <c r="H510" i="5"/>
  <c r="E510" i="5"/>
  <c r="X510" i="5" s="1"/>
  <c r="I510" i="5"/>
  <c r="F510" i="5"/>
  <c r="J510" i="5"/>
  <c r="E539" i="5"/>
  <c r="X539" i="5" s="1"/>
  <c r="H539" i="5"/>
  <c r="J539" i="5"/>
  <c r="I539" i="5"/>
  <c r="F539" i="5"/>
  <c r="G539" i="5"/>
  <c r="G552" i="5"/>
  <c r="F552" i="5"/>
  <c r="H552" i="5"/>
  <c r="E552" i="5"/>
  <c r="I552" i="5"/>
  <c r="J552" i="5"/>
  <c r="R498" i="5"/>
  <c r="G498" i="5"/>
  <c r="H498" i="5"/>
  <c r="E498" i="5"/>
  <c r="I498" i="5"/>
  <c r="J498" i="5"/>
  <c r="F498" i="5"/>
  <c r="G503" i="5"/>
  <c r="H503" i="5"/>
  <c r="E503" i="5"/>
  <c r="I503" i="5"/>
  <c r="F503" i="5"/>
  <c r="J503" i="5"/>
  <c r="G508" i="5"/>
  <c r="H508" i="5"/>
  <c r="E508" i="5"/>
  <c r="I508" i="5"/>
  <c r="F508" i="5"/>
  <c r="J508" i="5"/>
  <c r="H516" i="5"/>
  <c r="E516" i="5"/>
  <c r="X516" i="5" s="1"/>
  <c r="I516" i="5"/>
  <c r="G516" i="5"/>
  <c r="J516" i="5"/>
  <c r="F516" i="5"/>
  <c r="H520" i="5"/>
  <c r="E520" i="5"/>
  <c r="I520" i="5"/>
  <c r="G520" i="5"/>
  <c r="J520" i="5"/>
  <c r="F520" i="5"/>
  <c r="E527" i="5"/>
  <c r="X527" i="5" s="1"/>
  <c r="I527" i="5"/>
  <c r="F527" i="5"/>
  <c r="H527" i="5"/>
  <c r="J527" i="5"/>
  <c r="G527" i="5"/>
  <c r="E531" i="5"/>
  <c r="I531" i="5"/>
  <c r="H531" i="5"/>
  <c r="F531" i="5"/>
  <c r="J531" i="5"/>
  <c r="G531" i="5"/>
  <c r="G542" i="5"/>
  <c r="J542" i="5"/>
  <c r="H542" i="5"/>
  <c r="F542" i="5"/>
  <c r="E542" i="5"/>
  <c r="I542" i="5"/>
  <c r="G547" i="5"/>
  <c r="J547" i="5"/>
  <c r="H547" i="5"/>
  <c r="F547" i="5"/>
  <c r="E547" i="5"/>
  <c r="I547" i="5"/>
  <c r="R558" i="5"/>
  <c r="G558" i="5"/>
  <c r="F558" i="5"/>
  <c r="H558" i="5"/>
  <c r="E558" i="5"/>
  <c r="I558" i="5"/>
  <c r="J558" i="5"/>
  <c r="G568" i="5"/>
  <c r="J568" i="5"/>
  <c r="H568" i="5"/>
  <c r="F568" i="5"/>
  <c r="E568" i="5"/>
  <c r="I568"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92" i="5"/>
  <c r="T221" i="5"/>
  <c r="T301"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X75" i="5"/>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I393" i="5"/>
  <c r="J393" i="5"/>
  <c r="F393" i="5"/>
  <c r="R630" i="5"/>
  <c r="G630" i="5"/>
  <c r="E612" i="5"/>
  <c r="X612" i="5" s="1"/>
  <c r="R612" i="5"/>
  <c r="F612" i="5"/>
  <c r="H1165" i="5"/>
  <c r="F1165" i="5"/>
  <c r="E1165" i="5"/>
  <c r="X1165" i="5" s="1"/>
  <c r="J782" i="5"/>
  <c r="E782" i="5"/>
  <c r="X782" i="5" s="1"/>
  <c r="R376" i="5"/>
  <c r="F376" i="5"/>
  <c r="R301" i="5"/>
  <c r="F301" i="5"/>
  <c r="F594" i="5"/>
  <c r="G594" i="5"/>
  <c r="T1305" i="5"/>
  <c r="S1305" i="5"/>
  <c r="AB1743" i="5"/>
  <c r="S1743" i="5"/>
  <c r="T1802" i="5"/>
  <c r="AB1802" i="5"/>
  <c r="F1909" i="5"/>
  <c r="R1909" i="5"/>
  <c r="H1909" i="5"/>
  <c r="R2458" i="5"/>
  <c r="I2458" i="5"/>
  <c r="AB30" i="5"/>
  <c r="AB126" i="5"/>
  <c r="T174" i="5"/>
  <c r="I190" i="5"/>
  <c r="T230" i="5"/>
  <c r="T233" i="5"/>
  <c r="I235" i="5"/>
  <c r="G238" i="5"/>
  <c r="G295" i="5"/>
  <c r="T335" i="5"/>
  <c r="T338" i="5"/>
  <c r="S371" i="5"/>
  <c r="AB438" i="5"/>
  <c r="AB459"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102" i="5"/>
  <c r="T285" i="5"/>
  <c r="T359" i="5"/>
  <c r="S438" i="5"/>
  <c r="S447" i="5"/>
  <c r="S487" i="5"/>
  <c r="T521"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R75" i="5"/>
  <c r="S80" i="5"/>
  <c r="AB102" i="5"/>
  <c r="G127" i="5"/>
  <c r="G186" i="5"/>
  <c r="AB242" i="5"/>
  <c r="AB283" i="5"/>
  <c r="AB308" i="5"/>
  <c r="S422" i="5"/>
  <c r="AB426" i="5"/>
  <c r="AB430" i="5"/>
  <c r="AB457" i="5"/>
  <c r="S463"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X46" i="5"/>
  <c r="E78" i="5"/>
  <c r="X78" i="5" s="1"/>
  <c r="T106" i="5"/>
  <c r="E170" i="5"/>
  <c r="X170" i="5" s="1"/>
  <c r="G198" i="5"/>
  <c r="AB218" i="5"/>
  <c r="AB235" i="5"/>
  <c r="G274" i="5"/>
  <c r="J302" i="5"/>
  <c r="T305" i="5"/>
  <c r="S343" i="5"/>
  <c r="T346" i="5"/>
  <c r="AB368" i="5"/>
  <c r="AB400" i="5"/>
  <c r="E413" i="5"/>
  <c r="X413" i="5" s="1"/>
  <c r="S439" i="5"/>
  <c r="AB442" i="5"/>
  <c r="E491" i="5"/>
  <c r="X491" i="5" s="1"/>
  <c r="AB509"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T122" i="5"/>
  <c r="T130" i="5"/>
  <c r="T278" i="5"/>
  <c r="G301" i="5"/>
  <c r="S406"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E134" i="5"/>
  <c r="X134" i="5" s="1"/>
  <c r="E235" i="5"/>
  <c r="X235" i="5" s="1"/>
  <c r="T262" i="5"/>
  <c r="V265" i="5"/>
  <c r="R265" i="5" s="1"/>
  <c r="T281" i="5"/>
  <c r="E291" i="5"/>
  <c r="X291" i="5" s="1"/>
  <c r="S431" i="5"/>
  <c r="S446" i="5"/>
  <c r="G480" i="5"/>
  <c r="S495" i="5"/>
  <c r="V556" i="5"/>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X47" i="5"/>
  <c r="H127" i="5"/>
  <c r="R127" i="5"/>
  <c r="J127" i="5"/>
  <c r="I127" i="5"/>
  <c r="E127" i="5"/>
  <c r="X127" i="5" s="1"/>
  <c r="T144" i="5"/>
  <c r="S144" i="5"/>
  <c r="T320" i="5"/>
  <c r="S320" i="5"/>
  <c r="V330" i="5"/>
  <c r="G330" i="5" s="1"/>
  <c r="T895" i="5"/>
  <c r="AB895" i="5"/>
  <c r="S895" i="5"/>
  <c r="AB1863" i="5"/>
  <c r="T1863" i="5"/>
  <c r="S1863" i="5"/>
  <c r="R5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26" i="5"/>
  <c r="X63" i="5"/>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R22"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H111" i="5"/>
  <c r="R111" i="5"/>
  <c r="H171" i="5"/>
  <c r="R171" i="5"/>
  <c r="J171" i="5"/>
  <c r="G171" i="5"/>
  <c r="V194" i="5"/>
  <c r="I194" i="5" s="1"/>
  <c r="S245" i="5"/>
  <c r="T245" i="5"/>
  <c r="V314" i="5"/>
  <c r="G314" i="5" s="1"/>
  <c r="T351" i="5"/>
  <c r="S351" i="5"/>
  <c r="T454" i="5"/>
  <c r="S454" i="5"/>
  <c r="E468" i="5"/>
  <c r="X468" i="5" s="1"/>
  <c r="F468" i="5"/>
  <c r="T483" i="5"/>
  <c r="S483" i="5"/>
  <c r="V562" i="5"/>
  <c r="I1848" i="5"/>
  <c r="H1848" i="5"/>
  <c r="G107" i="5"/>
  <c r="T112" i="5"/>
  <c r="S112" i="5"/>
  <c r="V115" i="5"/>
  <c r="H115" i="5" s="1"/>
  <c r="S166" i="5"/>
  <c r="AB166" i="5"/>
  <c r="T166" i="5"/>
  <c r="I198" i="5"/>
  <c r="E198" i="5"/>
  <c r="X198" i="5" s="1"/>
  <c r="H198" i="5"/>
  <c r="V201" i="5"/>
  <c r="R201" i="5" s="1"/>
  <c r="R245" i="5"/>
  <c r="G245" i="5"/>
  <c r="I461" i="5"/>
  <c r="F461" i="5"/>
  <c r="G86" i="5"/>
  <c r="J107" i="5"/>
  <c r="S178" i="5"/>
  <c r="AB178" i="5"/>
  <c r="T178" i="5"/>
  <c r="V215" i="5"/>
  <c r="G215" i="5" s="1"/>
  <c r="R299" i="5"/>
  <c r="J299" i="5"/>
  <c r="T312" i="5"/>
  <c r="S312" i="5"/>
  <c r="T379" i="5"/>
  <c r="S379" i="5"/>
  <c r="E392" i="5"/>
  <c r="X392" i="5" s="1"/>
  <c r="I392" i="5"/>
  <c r="H392" i="5"/>
  <c r="X62" i="5"/>
  <c r="S110" i="5"/>
  <c r="AB110" i="5"/>
  <c r="R30" i="5"/>
  <c r="V71" i="5"/>
  <c r="I86" i="5"/>
  <c r="V103" i="5"/>
  <c r="R107" i="5"/>
  <c r="S150" i="5"/>
  <c r="AB150" i="5"/>
  <c r="S186" i="5"/>
  <c r="AB186" i="5"/>
  <c r="T186" i="5"/>
  <c r="V239" i="5"/>
  <c r="G239" i="5" s="1"/>
  <c r="S286" i="5"/>
  <c r="T286" i="5"/>
  <c r="F372" i="5"/>
  <c r="I372" i="5"/>
  <c r="H372" i="5"/>
  <c r="F392" i="5"/>
  <c r="R401" i="5"/>
  <c r="J401" i="5"/>
  <c r="F455" i="5"/>
  <c r="G455" i="5"/>
  <c r="T601" i="5"/>
  <c r="S601" i="5"/>
  <c r="AB230" i="5"/>
  <c r="AB251" i="5"/>
  <c r="AB267" i="5"/>
  <c r="T269" i="5"/>
  <c r="G271" i="5"/>
  <c r="I376" i="5"/>
  <c r="AB453" i="5"/>
  <c r="AB454" i="5"/>
  <c r="AB472" i="5"/>
  <c r="X54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T525" i="5"/>
  <c r="T535" i="5"/>
  <c r="T551" i="5"/>
  <c r="AB551"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R73" i="5"/>
  <c r="X73" i="5"/>
  <c r="F109" i="5"/>
  <c r="R109" i="5"/>
  <c r="G133" i="5"/>
  <c r="R133" i="5"/>
  <c r="F133" i="5"/>
  <c r="F169" i="5"/>
  <c r="R169" i="5"/>
  <c r="G169" i="5"/>
  <c r="E169" i="5"/>
  <c r="X169" i="5" s="1"/>
  <c r="H195" i="5"/>
  <c r="F195" i="5"/>
  <c r="E195" i="5"/>
  <c r="X195" i="5" s="1"/>
  <c r="R195" i="5"/>
  <c r="I195" i="5"/>
  <c r="J195" i="5"/>
  <c r="G195" i="5"/>
  <c r="R67" i="5"/>
  <c r="X67" i="5"/>
  <c r="R19" i="5"/>
  <c r="X19" i="5"/>
  <c r="X35" i="5"/>
  <c r="R35" i="5"/>
  <c r="H139" i="5"/>
  <c r="R139" i="5"/>
  <c r="J139" i="5"/>
  <c r="I139" i="5"/>
  <c r="E139" i="5"/>
  <c r="X139" i="5" s="1"/>
  <c r="F139" i="5"/>
  <c r="E193" i="5"/>
  <c r="X193" i="5" s="1"/>
  <c r="F193" i="5"/>
  <c r="H227" i="5"/>
  <c r="E227" i="5"/>
  <c r="X227" i="5" s="1"/>
  <c r="R227" i="5"/>
  <c r="F227" i="5"/>
  <c r="J227" i="5"/>
  <c r="I227" i="5"/>
  <c r="R41" i="5"/>
  <c r="X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R27" i="5"/>
  <c r="H83" i="5"/>
  <c r="R83" i="5"/>
  <c r="J83" i="5"/>
  <c r="I83" i="5"/>
  <c r="F83" i="5"/>
  <c r="E83" i="5"/>
  <c r="X83" i="5" s="1"/>
  <c r="R51" i="5"/>
  <c r="X51" i="5"/>
  <c r="R77" i="5"/>
  <c r="X77" i="5"/>
  <c r="R89" i="5"/>
  <c r="E89" i="5"/>
  <c r="X89" i="5" s="1"/>
  <c r="I89" i="5"/>
  <c r="E129" i="5"/>
  <c r="X129" i="5" s="1"/>
  <c r="F129" i="5"/>
  <c r="H199" i="5"/>
  <c r="R199" i="5"/>
  <c r="J199" i="5"/>
  <c r="I199" i="5"/>
  <c r="F199" i="5"/>
  <c r="G199" i="5"/>
  <c r="E199" i="5"/>
  <c r="X199" i="5" s="1"/>
  <c r="H131" i="5"/>
  <c r="F131" i="5"/>
  <c r="E131" i="5"/>
  <c r="X131" i="5" s="1"/>
  <c r="I131" i="5"/>
  <c r="R131" i="5"/>
  <c r="J131" i="5"/>
  <c r="G131" i="5"/>
  <c r="R57" i="5"/>
  <c r="X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X249" i="5" s="1"/>
  <c r="F249" i="5"/>
  <c r="R39" i="5"/>
  <c r="R55"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X548" i="5"/>
  <c r="V600" i="5"/>
  <c r="G600" i="5" s="1"/>
  <c r="R693" i="5"/>
  <c r="J693" i="5"/>
  <c r="H693" i="5"/>
  <c r="R699" i="5"/>
  <c r="H699" i="5"/>
  <c r="R704" i="5"/>
  <c r="H704" i="5"/>
  <c r="X66"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S52" i="5"/>
  <c r="X55"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R532" i="5"/>
  <c r="T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AB26" i="5"/>
  <c r="X39" i="5"/>
  <c r="AB22" i="5"/>
  <c r="R25" i="5"/>
  <c r="R47" i="5"/>
  <c r="X54" i="5"/>
  <c r="R63" i="5"/>
  <c r="X70"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E81" i="5"/>
  <c r="X81" i="5" s="1"/>
  <c r="I82" i="5"/>
  <c r="S88"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X511" i="5"/>
  <c r="X523" i="5"/>
  <c r="R566" i="5"/>
  <c r="V602" i="5"/>
  <c r="G602" i="5" s="1"/>
  <c r="J638" i="5"/>
  <c r="R638" i="5"/>
  <c r="F638" i="5"/>
  <c r="G638" i="5"/>
  <c r="I726" i="5"/>
  <c r="F726" i="5"/>
  <c r="E726" i="5"/>
  <c r="X726" i="5" s="1"/>
  <c r="I742" i="5"/>
  <c r="F742" i="5"/>
  <c r="E742" i="5"/>
  <c r="X742" i="5" s="1"/>
  <c r="AB322" i="5"/>
  <c r="S322" i="5"/>
  <c r="AB32" i="5"/>
  <c r="X37" i="5"/>
  <c r="X53" i="5"/>
  <c r="X69" i="5"/>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R544" i="5"/>
  <c r="T547" i="5"/>
  <c r="X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X547" i="5"/>
  <c r="R556"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X551" i="5"/>
  <c r="X552" i="5"/>
  <c r="R552" i="5"/>
  <c r="X560" i="5"/>
  <c r="R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R512" i="5"/>
  <c r="V524" i="5"/>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R504" i="5"/>
  <c r="R520" i="5"/>
  <c r="AB533" i="5"/>
  <c r="R536" i="5"/>
  <c r="AB547" i="5"/>
  <c r="AB555"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T511" i="5"/>
  <c r="T523" i="5"/>
  <c r="T531" i="5"/>
  <c r="AB559"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X568" i="5"/>
  <c r="R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4"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T18" i="5"/>
  <c r="AB21" i="5"/>
  <c r="T21" i="5"/>
  <c r="S29" i="5"/>
  <c r="AB29" i="5"/>
  <c r="T29" i="5"/>
  <c r="AB35" i="5"/>
  <c r="T35" i="5"/>
  <c r="AB39" i="5"/>
  <c r="T39" i="5"/>
  <c r="AB43" i="5"/>
  <c r="T43" i="5"/>
  <c r="AB47" i="5"/>
  <c r="T47" i="5"/>
  <c r="AB51" i="5"/>
  <c r="T51" i="5"/>
  <c r="AB55" i="5"/>
  <c r="T55" i="5"/>
  <c r="AB59" i="5"/>
  <c r="T59" i="5"/>
  <c r="AB63" i="5"/>
  <c r="AB67" i="5"/>
  <c r="T67" i="5"/>
  <c r="AB71" i="5"/>
  <c r="AB75" i="5"/>
  <c r="T75"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S109" i="5"/>
  <c r="AB109" i="5"/>
  <c r="E117" i="5"/>
  <c r="X117" i="5" s="1"/>
  <c r="J121" i="5"/>
  <c r="I121" i="5"/>
  <c r="H121" i="5"/>
  <c r="S141" i="5"/>
  <c r="AB141" i="5"/>
  <c r="H146" i="5"/>
  <c r="F150" i="5"/>
  <c r="R150" i="5"/>
  <c r="J150" i="5"/>
  <c r="AB19" i="5"/>
  <c r="X21" i="5"/>
  <c r="AB27" i="5"/>
  <c r="S27" i="5"/>
  <c r="T27" i="5"/>
  <c r="X29" i="5"/>
  <c r="T22" i="5"/>
  <c r="X24" i="5"/>
  <c r="R28" i="5"/>
  <c r="T30" i="5"/>
  <c r="X32"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T25" i="5"/>
  <c r="AB37" i="5"/>
  <c r="AB45" i="5"/>
  <c r="S53" i="5"/>
  <c r="AB53" i="5"/>
  <c r="AB57" i="5"/>
  <c r="AB61" i="5"/>
  <c r="AB65" i="5"/>
  <c r="AB69" i="5"/>
  <c r="AB73"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AB33" i="5"/>
  <c r="AB41" i="5"/>
  <c r="AB49" i="5"/>
  <c r="AB77" i="5"/>
  <c r="J80" i="5"/>
  <c r="H80" i="5"/>
  <c r="F80" i="5"/>
  <c r="J81" i="5"/>
  <c r="H81" i="5"/>
  <c r="S85" i="5"/>
  <c r="AB85" i="5"/>
  <c r="J88" i="5"/>
  <c r="H88" i="5"/>
  <c r="F88" i="5"/>
  <c r="J89" i="5"/>
  <c r="H89" i="5"/>
  <c r="S93" i="5"/>
  <c r="AB93" i="5"/>
  <c r="S97" i="5"/>
  <c r="AB97" i="5"/>
  <c r="H118" i="5"/>
  <c r="F122" i="5"/>
  <c r="R122" i="5"/>
  <c r="J122" i="5"/>
  <c r="J125" i="5"/>
  <c r="I125" i="5"/>
  <c r="H125" i="5"/>
  <c r="T137" i="5"/>
  <c r="R18" i="5"/>
  <c r="X22" i="5"/>
  <c r="R23" i="5"/>
  <c r="R26" i="5"/>
  <c r="X30" i="5"/>
  <c r="R31" i="5"/>
  <c r="T34" i="5"/>
  <c r="X36" i="5"/>
  <c r="T38" i="5"/>
  <c r="X40" i="5"/>
  <c r="T42" i="5"/>
  <c r="X44" i="5"/>
  <c r="T46" i="5"/>
  <c r="X48" i="5"/>
  <c r="T50" i="5"/>
  <c r="X52" i="5"/>
  <c r="T54" i="5"/>
  <c r="X56" i="5"/>
  <c r="T58" i="5"/>
  <c r="X60" i="5"/>
  <c r="T62" i="5"/>
  <c r="X64" i="5"/>
  <c r="X68" i="5"/>
  <c r="T70" i="5"/>
  <c r="X72" i="5"/>
  <c r="T74" i="5"/>
  <c r="X76" i="5"/>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X499" i="5"/>
  <c r="R531" i="5"/>
  <c r="X531" i="5"/>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R510" i="5"/>
  <c r="X542" i="5"/>
  <c r="R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X526" i="5"/>
  <c r="R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X503" i="5"/>
  <c r="T504" i="5"/>
  <c r="S504" i="5"/>
  <c r="X519" i="5"/>
  <c r="T520" i="5"/>
  <c r="S520" i="5"/>
  <c r="X535" i="5"/>
  <c r="R547" i="5"/>
  <c r="AB553" i="5"/>
  <c r="V553" i="5"/>
  <c r="X555"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AB499" i="5"/>
  <c r="V509" i="5"/>
  <c r="AB510" i="5"/>
  <c r="T510" i="5"/>
  <c r="AB515" i="5"/>
  <c r="V525" i="5"/>
  <c r="AB526" i="5"/>
  <c r="T526" i="5"/>
  <c r="AB531" i="5"/>
  <c r="X532" i="5"/>
  <c r="V541" i="5"/>
  <c r="AB542" i="5"/>
  <c r="T542" i="5"/>
  <c r="X550" i="5"/>
  <c r="AB558" i="5"/>
  <c r="R559" i="5"/>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T500" i="5"/>
  <c r="V506" i="5"/>
  <c r="R511" i="5"/>
  <c r="T516" i="5"/>
  <c r="V522" i="5"/>
  <c r="R527" i="5"/>
  <c r="T532" i="5"/>
  <c r="V538" i="5"/>
  <c r="R543" i="5"/>
  <c r="S548" i="5"/>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AB500" i="5"/>
  <c r="V505" i="5"/>
  <c r="AB506" i="5"/>
  <c r="AB511" i="5"/>
  <c r="X512" i="5"/>
  <c r="AB516" i="5"/>
  <c r="V521" i="5"/>
  <c r="AB522" i="5"/>
  <c r="T522" i="5"/>
  <c r="AB527" i="5"/>
  <c r="AB532" i="5"/>
  <c r="V537" i="5"/>
  <c r="AB538" i="5"/>
  <c r="T538" i="5"/>
  <c r="AB543" i="5"/>
  <c r="X544" i="5"/>
  <c r="AB548" i="5"/>
  <c r="AB550" i="5"/>
  <c r="T550" i="5"/>
  <c r="R551" i="5"/>
  <c r="AB557" i="5"/>
  <c r="V557" i="5"/>
  <c r="X559" i="5"/>
  <c r="T560"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V502" i="5"/>
  <c r="R507" i="5"/>
  <c r="T512" i="5"/>
  <c r="V518" i="5"/>
  <c r="R523" i="5"/>
  <c r="T528" i="5"/>
  <c r="V534" i="5"/>
  <c r="R539" i="5"/>
  <c r="T544" i="5"/>
  <c r="S544" i="5"/>
  <c r="V554" i="5"/>
  <c r="AB562" i="5"/>
  <c r="T562" i="5"/>
  <c r="R563" i="5"/>
  <c r="AB566" i="5"/>
  <c r="T566" i="5"/>
  <c r="AB569" i="5"/>
  <c r="V569" i="5"/>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V501" i="5"/>
  <c r="AB502" i="5"/>
  <c r="T502" i="5"/>
  <c r="AB507" i="5"/>
  <c r="X508" i="5"/>
  <c r="AB512" i="5"/>
  <c r="V517" i="5"/>
  <c r="AB518" i="5"/>
  <c r="T518" i="5"/>
  <c r="AB523" i="5"/>
  <c r="AB528" i="5"/>
  <c r="V533" i="5"/>
  <c r="AB534" i="5"/>
  <c r="T534" i="5"/>
  <c r="AB539" i="5"/>
  <c r="X540" i="5"/>
  <c r="AB544" i="5"/>
  <c r="AB549" i="5"/>
  <c r="V549" i="5"/>
  <c r="T552"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X498" i="5"/>
  <c r="R503" i="5"/>
  <c r="T508" i="5"/>
  <c r="R519" i="5"/>
  <c r="T524" i="5"/>
  <c r="X530" i="5"/>
  <c r="R535" i="5"/>
  <c r="T540" i="5"/>
  <c r="S540" i="5"/>
  <c r="X546" i="5"/>
  <c r="AB554" i="5"/>
  <c r="T554" i="5"/>
  <c r="R555" i="5"/>
  <c r="AB561" i="5"/>
  <c r="V561"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AB498" i="5"/>
  <c r="AB503" i="5"/>
  <c r="AB508" i="5"/>
  <c r="V513" i="5"/>
  <c r="AB514" i="5"/>
  <c r="T514" i="5"/>
  <c r="AB519" i="5"/>
  <c r="X520" i="5"/>
  <c r="AB524" i="5"/>
  <c r="V529" i="5"/>
  <c r="AB530" i="5"/>
  <c r="T530" i="5"/>
  <c r="AB535" i="5"/>
  <c r="AB540" i="5"/>
  <c r="V545" i="5"/>
  <c r="AB546" i="5"/>
  <c r="T546" i="5"/>
  <c r="X558" i="5"/>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V567"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43" i="5"/>
  <c r="S45" i="5"/>
  <c r="S40" i="5"/>
  <c r="S563" i="5"/>
  <c r="T553" i="5"/>
  <c r="S535" i="5"/>
  <c r="S547" i="5"/>
  <c r="S507" i="5"/>
  <c r="S539" i="5"/>
  <c r="S569" i="5"/>
  <c r="S533" i="5"/>
  <c r="S511" i="5"/>
  <c r="S531" i="5"/>
  <c r="T536" i="5"/>
  <c r="T506" i="5"/>
  <c r="T568" i="5"/>
  <c r="S566" i="5"/>
  <c r="S552" i="5"/>
  <c r="S517" i="5"/>
  <c r="S557" i="5"/>
  <c r="S509" i="5"/>
  <c r="S553" i="5"/>
  <c r="S513" i="5"/>
  <c r="S565" i="5"/>
  <c r="T555" i="5"/>
  <c r="T497" i="5"/>
  <c r="S536" i="5"/>
  <c r="T558" i="5"/>
  <c r="T548" i="5"/>
  <c r="S568" i="5"/>
  <c r="S512" i="5"/>
  <c r="S528" i="5"/>
  <c r="T564" i="5"/>
  <c r="S561" i="5"/>
  <c r="S541" i="5"/>
  <c r="S503" i="5"/>
  <c r="S555" i="5"/>
  <c r="T499" i="5"/>
  <c r="S523" i="5"/>
  <c r="T501" i="5"/>
  <c r="T556" i="5"/>
  <c r="S500" i="5"/>
  <c r="S516" i="5"/>
  <c r="S532" i="5"/>
  <c r="S508" i="5"/>
  <c r="S524" i="5"/>
  <c r="S564" i="5"/>
  <c r="S526" i="5"/>
  <c r="S551" i="5"/>
  <c r="T505" i="5"/>
  <c r="S527" i="5"/>
  <c r="S549" i="5"/>
  <c r="S529" i="5"/>
  <c r="T533" i="5"/>
  <c r="S499" i="5"/>
  <c r="S543" i="5"/>
  <c r="S559" i="5"/>
  <c r="S556" i="5"/>
  <c r="S560" i="5"/>
  <c r="T498" i="5"/>
  <c r="S510" i="5"/>
  <c r="S23" i="5"/>
  <c r="S63" i="5"/>
  <c r="S73" i="5"/>
  <c r="S31" i="5"/>
  <c r="S60" i="5"/>
  <c r="S51" i="5"/>
  <c r="S67" i="5"/>
  <c r="S30" i="5"/>
  <c r="S61" i="5"/>
  <c r="S55" i="5"/>
  <c r="T63" i="5"/>
  <c r="T71" i="5"/>
  <c r="T66" i="5"/>
  <c r="S69" i="5"/>
  <c r="S32" i="5"/>
  <c r="S71" i="5"/>
  <c r="S72" i="5"/>
  <c r="S21" i="5"/>
  <c r="S59" i="5"/>
  <c r="S20" i="5"/>
  <c r="S39" i="5"/>
  <c r="S77" i="5"/>
  <c r="T6" i="5"/>
  <c r="S36" i="5"/>
  <c r="S75" i="5"/>
  <c r="S35" i="5"/>
  <c r="S25" i="5"/>
  <c r="S19" i="5"/>
  <c r="S57" i="5"/>
  <c r="S37" i="5"/>
  <c r="S33" i="5"/>
  <c r="S65" i="5"/>
  <c r="S64" i="5"/>
  <c r="S18" i="5"/>
  <c r="T5" i="5"/>
  <c r="T44" i="5"/>
  <c r="S41" i="5"/>
  <c r="S24" i="5"/>
  <c r="S68" i="5"/>
  <c r="S47" i="5"/>
  <c r="S49" i="5"/>
  <c r="G565" i="5" l="1"/>
  <c r="H565" i="5"/>
  <c r="F565" i="5"/>
  <c r="E565" i="5"/>
  <c r="I565" i="5"/>
  <c r="J565" i="5"/>
  <c r="G569" i="5"/>
  <c r="H569" i="5"/>
  <c r="F569" i="5"/>
  <c r="E569" i="5"/>
  <c r="X569" i="5" s="1"/>
  <c r="I569" i="5"/>
  <c r="J569" i="5"/>
  <c r="H521" i="5"/>
  <c r="E521" i="5"/>
  <c r="X521" i="5" s="1"/>
  <c r="I521" i="5"/>
  <c r="F521" i="5"/>
  <c r="G521" i="5"/>
  <c r="J521" i="5"/>
  <c r="G509" i="5"/>
  <c r="H509" i="5"/>
  <c r="E509" i="5"/>
  <c r="I509" i="5"/>
  <c r="J509" i="5"/>
  <c r="F509" i="5"/>
  <c r="G567" i="5"/>
  <c r="J567" i="5"/>
  <c r="H567" i="5"/>
  <c r="E567" i="5"/>
  <c r="X567" i="5" s="1"/>
  <c r="I567" i="5"/>
  <c r="F567" i="5"/>
  <c r="G549" i="5"/>
  <c r="F549" i="5"/>
  <c r="H549" i="5"/>
  <c r="J549" i="5"/>
  <c r="E549" i="5"/>
  <c r="I549" i="5"/>
  <c r="G557" i="5"/>
  <c r="H557" i="5"/>
  <c r="J557" i="5"/>
  <c r="E557" i="5"/>
  <c r="I557" i="5"/>
  <c r="F557" i="5"/>
  <c r="G553" i="5"/>
  <c r="J553" i="5"/>
  <c r="H553" i="5"/>
  <c r="F553" i="5"/>
  <c r="E553" i="5"/>
  <c r="I553" i="5"/>
  <c r="G545" i="5"/>
  <c r="J545" i="5"/>
  <c r="H545" i="5"/>
  <c r="E545" i="5"/>
  <c r="I545" i="5"/>
  <c r="F545" i="5"/>
  <c r="G513" i="5"/>
  <c r="H513" i="5"/>
  <c r="E513" i="5"/>
  <c r="I513" i="5"/>
  <c r="F513" i="5"/>
  <c r="J513" i="5"/>
  <c r="G561" i="5"/>
  <c r="F561" i="5"/>
  <c r="J561" i="5"/>
  <c r="H561" i="5"/>
  <c r="E561" i="5"/>
  <c r="I561" i="5"/>
  <c r="H517" i="5"/>
  <c r="E517" i="5"/>
  <c r="I517" i="5"/>
  <c r="F517" i="5"/>
  <c r="G517" i="5"/>
  <c r="J517" i="5"/>
  <c r="G502" i="5"/>
  <c r="H502" i="5"/>
  <c r="E502" i="5"/>
  <c r="I502" i="5"/>
  <c r="F502" i="5"/>
  <c r="J502" i="5"/>
  <c r="G505" i="5"/>
  <c r="H505" i="5"/>
  <c r="E505" i="5"/>
  <c r="I505" i="5"/>
  <c r="F505" i="5"/>
  <c r="J505" i="5"/>
  <c r="G506" i="5"/>
  <c r="H506" i="5"/>
  <c r="E506" i="5"/>
  <c r="I506" i="5"/>
  <c r="F506" i="5"/>
  <c r="J506" i="5"/>
  <c r="G556" i="5"/>
  <c r="J556" i="5"/>
  <c r="H556" i="5"/>
  <c r="F556" i="5"/>
  <c r="E556" i="5"/>
  <c r="I556" i="5"/>
  <c r="G497" i="5"/>
  <c r="H497" i="5"/>
  <c r="E497" i="5"/>
  <c r="I497" i="5"/>
  <c r="F497" i="5"/>
  <c r="J497" i="5"/>
  <c r="H518" i="5"/>
  <c r="E518" i="5"/>
  <c r="I518" i="5"/>
  <c r="F518" i="5"/>
  <c r="G518" i="5"/>
  <c r="J518" i="5"/>
  <c r="E537" i="5"/>
  <c r="I537" i="5"/>
  <c r="H537" i="5"/>
  <c r="J537" i="5"/>
  <c r="F537" i="5"/>
  <c r="G537" i="5"/>
  <c r="H522" i="5"/>
  <c r="E522" i="5"/>
  <c r="I522" i="5"/>
  <c r="F522" i="5"/>
  <c r="J522" i="5"/>
  <c r="G522" i="5"/>
  <c r="H541" i="5"/>
  <c r="F541" i="5"/>
  <c r="E541" i="5"/>
  <c r="I541" i="5"/>
  <c r="J541" i="5"/>
  <c r="G541" i="5"/>
  <c r="R562" i="5"/>
  <c r="G562" i="5"/>
  <c r="H562" i="5"/>
  <c r="F562" i="5"/>
  <c r="E562" i="5"/>
  <c r="X562" i="5" s="1"/>
  <c r="I562" i="5"/>
  <c r="J562" i="5"/>
  <c r="E529" i="5"/>
  <c r="X529" i="5" s="1"/>
  <c r="I529" i="5"/>
  <c r="F529" i="5"/>
  <c r="H529" i="5"/>
  <c r="J529" i="5"/>
  <c r="G529" i="5"/>
  <c r="E533" i="5"/>
  <c r="I533" i="5"/>
  <c r="F533" i="5"/>
  <c r="H533" i="5"/>
  <c r="J533" i="5"/>
  <c r="G533" i="5"/>
  <c r="G501" i="5"/>
  <c r="H501" i="5"/>
  <c r="E501" i="5"/>
  <c r="I501" i="5"/>
  <c r="F501" i="5"/>
  <c r="J501" i="5"/>
  <c r="G554" i="5"/>
  <c r="H554" i="5"/>
  <c r="J554" i="5"/>
  <c r="E554" i="5"/>
  <c r="I554" i="5"/>
  <c r="F554" i="5"/>
  <c r="E534" i="5"/>
  <c r="X534" i="5" s="1"/>
  <c r="I534" i="5"/>
  <c r="J534" i="5"/>
  <c r="H534" i="5"/>
  <c r="F534" i="5"/>
  <c r="G534" i="5"/>
  <c r="E538" i="5"/>
  <c r="X538" i="5" s="1"/>
  <c r="I538" i="5"/>
  <c r="J538" i="5"/>
  <c r="F538" i="5"/>
  <c r="H538" i="5"/>
  <c r="G538" i="5"/>
  <c r="H525" i="5"/>
  <c r="E525" i="5"/>
  <c r="I525" i="5"/>
  <c r="F525" i="5"/>
  <c r="G525" i="5"/>
  <c r="J525" i="5"/>
  <c r="H524" i="5"/>
  <c r="E524" i="5"/>
  <c r="X524" i="5" s="1"/>
  <c r="I524" i="5"/>
  <c r="G524" i="5"/>
  <c r="F524" i="5"/>
  <c r="J524" i="5"/>
  <c r="B32" i="6"/>
  <c r="C9" i="6"/>
  <c r="C12" i="6"/>
  <c r="C11" i="6"/>
  <c r="C10" i="6"/>
  <c r="C8"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X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E2417" i="5"/>
  <c r="X2417" i="5" s="1"/>
  <c r="I2409" i="5"/>
  <c r="F2325" i="5"/>
  <c r="I2011" i="5"/>
  <c r="J1936" i="5"/>
  <c r="G1801" i="5"/>
  <c r="F1770" i="5"/>
  <c r="R1696" i="5"/>
  <c r="H1664" i="5"/>
  <c r="G1712" i="5"/>
  <c r="I1494" i="5"/>
  <c r="R1672" i="5"/>
  <c r="G1074" i="5"/>
  <c r="F1352" i="5"/>
  <c r="F1292" i="5"/>
  <c r="J974" i="5"/>
  <c r="J875" i="5"/>
  <c r="G875" i="5"/>
  <c r="I783" i="5"/>
  <c r="I749" i="5"/>
  <c r="J757" i="5"/>
  <c r="J431" i="5"/>
  <c r="I334" i="5"/>
  <c r="J281" i="5"/>
  <c r="H281" i="5"/>
  <c r="R194" i="5"/>
  <c r="R215"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X43" i="5"/>
  <c r="R43"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R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R529" i="5"/>
  <c r="I486" i="5"/>
  <c r="H486" i="5"/>
  <c r="E486" i="5"/>
  <c r="X486" i="5" s="1"/>
  <c r="F486" i="5"/>
  <c r="R486" i="5"/>
  <c r="J486" i="5"/>
  <c r="R467" i="5"/>
  <c r="J467" i="5"/>
  <c r="G467" i="5"/>
  <c r="F467" i="5"/>
  <c r="E467" i="5"/>
  <c r="X467" i="5" s="1"/>
  <c r="I467" i="5"/>
  <c r="H467" i="5"/>
  <c r="R521" i="5"/>
  <c r="F469" i="5"/>
  <c r="J469" i="5"/>
  <c r="I469" i="5"/>
  <c r="H469" i="5"/>
  <c r="E469" i="5"/>
  <c r="X469" i="5" s="1"/>
  <c r="R469" i="5"/>
  <c r="R541" i="5"/>
  <c r="X541" i="5"/>
  <c r="R509" i="5"/>
  <c r="X509" i="5"/>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E591" i="5"/>
  <c r="X591" i="5" s="1"/>
  <c r="R591" i="5"/>
  <c r="J591" i="5"/>
  <c r="F591" i="5"/>
  <c r="I591" i="5"/>
  <c r="H591" i="5"/>
  <c r="H577" i="5"/>
  <c r="F577" i="5"/>
  <c r="R577" i="5"/>
  <c r="J577" i="5"/>
  <c r="E577" i="5"/>
  <c r="X577" i="5" s="1"/>
  <c r="I577" i="5"/>
  <c r="R534" i="5"/>
  <c r="R537" i="5"/>
  <c r="X537" i="5"/>
  <c r="R538" i="5"/>
  <c r="X522" i="5"/>
  <c r="R522" i="5"/>
  <c r="X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X502" i="5"/>
  <c r="R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X518" i="5"/>
  <c r="R518" i="5"/>
  <c r="F493" i="5"/>
  <c r="R493" i="5"/>
  <c r="J493" i="5"/>
  <c r="I493" i="5"/>
  <c r="H493" i="5"/>
  <c r="E493" i="5"/>
  <c r="X493" i="5" s="1"/>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R545" i="5"/>
  <c r="X545" i="5"/>
  <c r="F473" i="5"/>
  <c r="R473" i="5"/>
  <c r="J473" i="5"/>
  <c r="I473" i="5"/>
  <c r="H473" i="5"/>
  <c r="E473" i="5"/>
  <c r="X473" i="5" s="1"/>
  <c r="R517" i="5"/>
  <c r="X517" i="5"/>
  <c r="R475" i="5"/>
  <c r="J475" i="5"/>
  <c r="G475" i="5"/>
  <c r="F475" i="5"/>
  <c r="E475" i="5"/>
  <c r="X475" i="5" s="1"/>
  <c r="I475" i="5"/>
  <c r="H475" i="5"/>
  <c r="R525" i="5"/>
  <c r="X525" i="5"/>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R565" i="5"/>
  <c r="X565" i="5"/>
  <c r="R501" i="5"/>
  <c r="X501" i="5"/>
  <c r="R557" i="5"/>
  <c r="X557" i="5"/>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R561" i="5"/>
  <c r="X561" i="5"/>
  <c r="R549" i="5"/>
  <c r="X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R513" i="5"/>
  <c r="X513" i="5"/>
  <c r="G473" i="5"/>
  <c r="X554" i="5"/>
  <c r="R554" i="5"/>
  <c r="H581" i="5"/>
  <c r="F581" i="5"/>
  <c r="R581" i="5"/>
  <c r="J581" i="5"/>
  <c r="I581" i="5"/>
  <c r="E581" i="5"/>
  <c r="X581" i="5" s="1"/>
  <c r="R505" i="5"/>
  <c r="X505" i="5"/>
  <c r="G477" i="5"/>
  <c r="I597" i="5"/>
  <c r="H597" i="5"/>
  <c r="F597" i="5"/>
  <c r="R597" i="5"/>
  <c r="J597" i="5"/>
  <c r="E597" i="5"/>
  <c r="X597" i="5" s="1"/>
  <c r="G585"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R497" i="5"/>
  <c r="X497" i="5"/>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R553" i="5"/>
  <c r="X553" i="5"/>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34" i="6"/>
  <c r="F39" i="6"/>
  <c r="H39" i="6" s="1"/>
  <c r="D39" i="6" s="1"/>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R533" i="5"/>
  <c r="X533" i="5"/>
  <c r="G485" i="5"/>
  <c r="R569" i="5"/>
  <c r="H573" i="5"/>
  <c r="F573" i="5"/>
  <c r="R573" i="5"/>
  <c r="J573" i="5"/>
  <c r="I573" i="5"/>
  <c r="E573" i="5"/>
  <c r="X573" i="5" s="1"/>
  <c r="I474" i="5"/>
  <c r="H474" i="5"/>
  <c r="R474" i="5"/>
  <c r="J474" i="5"/>
  <c r="F474" i="5"/>
  <c r="E474" i="5"/>
  <c r="X474" i="5" s="1"/>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9" i="6" l="1"/>
  <c r="F54" i="6"/>
  <c r="F58" i="6" s="1"/>
  <c r="H58" i="6" s="1"/>
  <c r="H35" i="6"/>
  <c r="D35" i="6" s="1"/>
  <c r="F65" i="6"/>
  <c r="F44" i="6"/>
  <c r="H44" i="6" s="1"/>
  <c r="D44" i="6" s="1"/>
  <c r="H37" i="6"/>
  <c r="D37" i="6" s="1"/>
  <c r="H45" i="6"/>
  <c r="D45" i="6" s="1"/>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46" i="6"/>
  <c r="F62" i="6"/>
  <c r="H62" i="6" s="1"/>
  <c r="F59" i="6"/>
  <c r="H59" i="6" s="1"/>
  <c r="D25" i="6"/>
  <c r="C25" i="6"/>
  <c r="D26" i="6"/>
  <c r="C26" i="6"/>
  <c r="D21" i="6"/>
  <c r="C21" i="6"/>
  <c r="C39" i="6"/>
  <c r="D22" i="6"/>
  <c r="C22" i="6"/>
  <c r="H47" i="6"/>
  <c r="D47" i="6" s="1"/>
  <c r="C52" i="6"/>
  <c r="C50" i="6"/>
  <c r="C44" i="6"/>
  <c r="C35" i="6" l="1"/>
  <c r="F63" i="6"/>
  <c r="H63" i="6" s="1"/>
  <c r="H54" i="6"/>
  <c r="D54" i="6" s="1"/>
  <c r="F60" i="6"/>
  <c r="H60" i="6" s="1"/>
  <c r="F57" i="6"/>
  <c r="H57" i="6" s="1"/>
  <c r="D57" i="6" s="1"/>
  <c r="F55" i="6"/>
  <c r="C37"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C57" i="6"/>
  <c r="F56" i="6"/>
  <c r="H56" i="6" s="1"/>
  <c r="H55" i="6"/>
  <c r="D59" i="6"/>
  <c r="C59" i="6"/>
  <c r="T10" i="5"/>
  <c r="T12" i="5"/>
  <c r="T16" i="5"/>
  <c r="T8" i="5"/>
  <c r="T11" i="5"/>
  <c r="T14" i="5"/>
  <c r="T15" i="5"/>
  <c r="T17" i="5"/>
  <c r="T9" i="5"/>
  <c r="T7" i="5"/>
  <c r="T13" i="5"/>
  <c r="X13" i="5" l="1"/>
  <c r="X10" i="5"/>
  <c r="D65" i="6"/>
  <c r="X9" i="5"/>
  <c r="X12" i="5"/>
  <c r="X14" i="5"/>
  <c r="X17" i="5"/>
  <c r="D66" i="6"/>
  <c r="C67" i="6"/>
  <c r="X11" i="5"/>
  <c r="X15" i="5"/>
  <c r="X8" i="5"/>
  <c r="X7" i="5"/>
  <c r="G69" i="6"/>
  <c r="X16" i="5"/>
  <c r="D55" i="6"/>
  <c r="C55" i="6"/>
  <c r="D56" i="6"/>
  <c r="C56" i="6"/>
  <c r="S14" i="5"/>
  <c r="S12" i="5"/>
  <c r="S13" i="5"/>
  <c r="S16" i="5"/>
  <c r="S15" i="5"/>
  <c r="S11" i="5"/>
  <c r="S8" i="5"/>
  <c r="S10" i="5"/>
  <c r="S9" i="5"/>
  <c r="S17" i="5"/>
  <c r="S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<sst xmlns="http://schemas.openxmlformats.org/spreadsheetml/2006/main" count="22371" uniqueCount="15581">
  <si>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</si>
  <si>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</si>
  <si>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</si>
  <si>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</si>
  <si>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</si>
  <si>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</si>
  <si>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</si>
  <si>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</si>
  <si>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</si>
  <si>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</si>
  <si>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</si>
  <si>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</si>
  <si>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</si>
  <si>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</si>
  <si>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</si>
  <si>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</si>
  <si>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</si>
  <si>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</si>
  <si>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</si>
  <si>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</si>
  <si>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</si>
  <si>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</si>
  <si>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</si>
  <si>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</si>
  <si>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</si>
  <si>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</si>
  <si>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</si>
  <si>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</si>
  <si>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</si>
  <si>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</si>
  <si>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</si>
  <si>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</si>
  <si>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</si>
  <si>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</si>
  <si>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</si>
  <si>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</si>
  <si>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</si>
  <si>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</si>
  <si>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</si>
  <si>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</si>
  <si>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</si>
  <si>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</si>
  <si>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</si>
  <si>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</si>
  <si>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</si>
  <si>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</si>
  <si>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</si>
  <si>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</si>
  <si>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</si>
  <si>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</si>
  <si>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</si>
  <si>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</si>
  <si>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</si>
  <si>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</si>
  <si>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</si>
  <si>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</si>
  <si>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</si>
  <si>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</si>
  <si>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</si>
  <si>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</si>
  <si>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</si>
  <si>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</si>
  <si>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</si>
  <si>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</si>
  <si>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</si>
  <si>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</si>
  <si>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</si>
  <si>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</si>
  <si>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</si>
  <si>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</si>
  <si>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</si>
  <si>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</si>
  <si>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</si>
  <si>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</si>
  <si>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</si>
  <si>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</si>
  <si>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</si>
  <si>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</si>
  <si>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</si>
  <si>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</si>
  <si>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</si>
  <si>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</si>
  <si>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</si>
  <si>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</si>
  <si>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</si>
  <si>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</si>
  <si>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</si>
  <si>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</si>
  <si>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</si>
  <si>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</si>
  <si>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</si>
  <si>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</si>
  <si>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</si>
  <si>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</si>
  <si>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</si>
  <si>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</si>
  <si>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</si>
  <si>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</si>
  <si>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</si>
  <si>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</si>
  <si>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</si>
  <si>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</si>
  <si>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</si>
  <si>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</si>
  <si>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</si>
  <si>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</si>
  <si>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</si>
  <si>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</si>
  <si>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</si>
  <si>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</si>
  <si>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</si>
  <si>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</si>
  <si>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</si>
  <si>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</si>
  <si>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</si>
  <si>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</si>
  <si>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</si>
  <si>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</si>
  <si>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</si>
  <si>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</si>
  <si>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</si>
  <si>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</si>
  <si>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</si>
  <si>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</si>
  <si>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</si>
  <si>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</si>
  <si>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</si>
  <si>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</si>
  <si>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</si>
  <si>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</si>
  <si>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</si>
  <si>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</si>
  <si>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</si>
  <si>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</si>
  <si>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</si>
  <si>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</si>
  <si>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</si>
  <si>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</si>
  <si>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</si>
  <si>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</si>
  <si>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</si>
  <si>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</si>
  <si>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</si>
  <si>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</si>
  <si>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</si>
  <si>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</si>
  <si>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</si>
  <si>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</si>
  <si>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</si>
  <si>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</si>
  <si>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</si>
  <si>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</si>
  <si>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</si>
  <si>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</si>
  <si>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</si>
  <si>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</si>
  <si>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</si>
  <si>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</si>
  <si>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</si>
  <si>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</si>
  <si>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</si>
  <si>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</si>
  <si>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</si>
  <si>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</si>
  <si>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</si>
  <si>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</si>
  <si>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</si>
  <si>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</si>
  <si>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</si>
  <si>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</si>
  <si>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</si>
  <si>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</si>
  <si>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</si>
  <si>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</si>
  <si>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</si>
  <si>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</si>
  <si>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</si>
  <si>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</si>
  <si>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</si>
  <si>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</si>
  <si>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</si>
  <si>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</si>
  <si>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</si>
  <si>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</si>
  <si>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</si>
  <si>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</si>
  <si>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</si>
  <si>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</si>
  <si>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</si>
  <si>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</si>
  <si>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</si>
  <si>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</si>
  <si>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</si>
  <si>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</si>
  <si>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</si>
  <si>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</si>
  <si>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</si>
  <si>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</si>
  <si>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</si>
  <si>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</si>
  <si>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</si>
  <si>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</si>
  <si>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</si>
  <si>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</si>
  <si>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</si>
  <si>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</si>
  <si>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</si>
  <si>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</si>
  <si>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</si>
  <si>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</si>
  <si>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</si>
  <si>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</si>
  <si>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</si>
  <si>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</si>
  <si>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</si>
  <si>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</si>
  <si>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</si>
  <si>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</si>
  <si>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</si>
  <si>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</si>
  <si>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</si>
  <si>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</si>
  <si>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</si>
  <si>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</si>
  <si>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</si>
  <si>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</si>
  <si>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</si>
  <si>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</si>
  <si>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</si>
  <si>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</si>
  <si>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</si>
  <si>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</si>
  <si>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</si>
  <si>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</si>
  <si>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</si>
  <si>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</si>
  <si>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</si>
  <si>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</si>
  <si>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</si>
  <si>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</si>
  <si>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</si>
  <si>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</si>
  <si>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</si>
  <si>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</si>
  <si>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</si>
  <si>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</si>
  <si>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</si>
  <si>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</si>
  <si>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</si>
  <si>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</si>
  <si>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</si>
  <si>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</si>
  <si>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</si>
  <si>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</si>
  <si>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</si>
  <si>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</si>
  <si>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</si>
  <si>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</si>
  <si>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</si>
  <si>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</si>
  <si>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</si>
  <si>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</si>
  <si>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</si>
  <si>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</si>
  <si>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</si>
  <si>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</si>
  <si>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</si>
  <si>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</si>
  <si>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</si>
  <si>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</si>
  <si>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</si>
  <si>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</si>
  <si>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</si>
  <si>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</si>
  <si>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</si>
  <si>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</si>
  <si>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</si>
  <si>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</si>
  <si>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</si>
  <si>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</si>
  <si>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</si>
  <si>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</si>
  <si>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</si>
  <si>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</si>
  <si>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</si>
  <si>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</si>
  <si>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</si>
  <si>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</si>
  <si>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</si>
  <si>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</si>
  <si>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</si>
  <si>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</si>
  <si>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</si>
  <si>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</si>
  <si>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</si>
  <si>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</si>
  <si>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</si>
  <si>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</si>
  <si>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</si>
  <si>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</si>
  <si>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</si>
  <si>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</si>
  <si>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</si>
  <si>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</si>
  <si>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</si>
  <si>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</si>
  <si>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</si>
  <si>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</si>
  <si>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</si>
  <si>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</si>
  <si>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</si>
  <si>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</si>
  <si>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</si>
  <si>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</si>
  <si>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</si>
  <si>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</si>
  <si>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</si>
  <si>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</si>
  <si>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</si>
  <si>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</si>
  <si>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</si>
  <si>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</si>
  <si>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</si>
  <si>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</si>
  <si>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</si>
  <si>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</si>
  <si>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</si>
  <si>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</si>
  <si>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</si>
  <si>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</si>
  <si>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</si>
  <si>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</si>
  <si>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</si>
  <si>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</si>
  <si>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</si>
  <si>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</si>
  <si>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</si>
  <si>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</si>
  <si>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</si>
  <si>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</si>
  <si>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</si>
  <si>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</si>
  <si>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</si>
  <si>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</si>
  <si>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</si>
  <si>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</si>
  <si>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</si>
  <si>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</si>
  <si>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</si>
  <si>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</si>
  <si>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</si>
  <si>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</si>
  <si>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</si>
  <si>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</si>
  <si>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</si>
  <si>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</si>
  <si>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</si>
  <si>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</si>
  <si>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</si>
  <si>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</si>
  <si>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</si>
  <si>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</si>
  <si>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</si>
  <si>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</si>
  <si>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</si>
  <si>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</si>
  <si>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</si>
  <si>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</si>
  <si>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</si>
  <si>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</si>
  <si>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</si>
  <si>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</si>
  <si>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</si>
  <si>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</si>
  <si>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</si>
  <si>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</si>
  <si>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</si>
  <si>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</si>
  <si>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</si>
  <si>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</si>
  <si>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</si>
  <si>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</si>
  <si>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</si>
  <si>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</si>
  <si>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</si>
  <si>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</si>
  <si>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</si>
  <si>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</si>
  <si>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</si>
  <si>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</si>
  <si>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</si>
  <si>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</si>
  <si>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</si>
  <si>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</si>
  <si>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</si>
  <si>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</si>
  <si>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</si>
  <si>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</si>
  <si>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</si>
  <si>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</si>
  <si>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</si>
  <si>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</si>
  <si>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</si>
  <si>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</si>
  <si>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</si>
  <si>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</si>
  <si>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</si>
  <si>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</si>
  <si>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</si>
  <si>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</si>
  <si>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</si>
  <si>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</si>
  <si>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</si>
  <si>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</si>
  <si>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</si>
  <si>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</si>
  <si>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</si>
  <si>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</si>
  <si>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</si>
  <si>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</si>
  <si>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</si>
  <si>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</si>
  <si>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</si>
  <si>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</si>
  <si>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</si>
  <si>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</si>
  <si>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</si>
  <si>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</si>
  <si>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</si>
  <si>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</si>
  <si>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</si>
  <si>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</si>
  <si>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</si>
  <si>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</si>
  <si>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</si>
  <si>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</si>
  <si>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</si>
  <si>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</si>
  <si>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</si>
  <si>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</si>
  <si>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</si>
  <si>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</si>
  <si>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</si>
  <si>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</si>
  <si>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</si>
  <si>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</si>
  <si>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</si>
  <si>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</si>
  <si>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</si>
  <si>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</si>
  <si>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</si>
  <si>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</si>
  <si>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</si>
  <si>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</si>
  <si>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</si>
  <si>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</si>
  <si>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</si>
  <si>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</si>
  <si>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</si>
  <si>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</si>
  <si>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</si>
  <si>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</si>
  <si>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</si>
  <si>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</si>
  <si>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</si>
  <si>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</si>
  <si>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</si>
  <si>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</si>
  <si>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</si>
  <si>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</si>
  <si>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</si>
  <si>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</si>
  <si>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</si>
  <si>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</si>
  <si>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</si>
  <si>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</si>
  <si>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</si>
  <si>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</si>
  <si>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</si>
  <si>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</si>
  <si>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</si>
  <si>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</si>
  <si>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</si>
  <si>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</si>
  <si>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</si>
  <si>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</si>
  <si>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</si>
  <si>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</si>
  <si>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</si>
  <si>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</si>
  <si>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</si>
  <si>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</si>
  <si>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</si>
  <si>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</si>
  <si>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</si>
  <si>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</si>
  <si>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</si>
  <si>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</si>
  <si>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</si>
  <si>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</si>
  <si>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</si>
  <si>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</si>
  <si>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</si>
  <si>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</si>
  <si>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</si>
  <si>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</si>
  <si>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</si>
  <si>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</si>
  <si>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</si>
  <si>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</si>
  <si>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</si>
  <si>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</si>
  <si>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</si>
  <si>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</si>
  <si>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</si>
  <si>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</si>
  <si>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</si>
  <si>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</si>
  <si>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</si>
  <si>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</si>
  <si>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</si>
  <si>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</si>
  <si>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</si>
  <si>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</si>
  <si>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</si>
  <si>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</si>
  <si>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</si>
  <si>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</si>
  <si>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</si>
  <si>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</si>
  <si>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</si>
  <si>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</si>
  <si>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</si>
  <si>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</si>
  <si>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</si>
  <si>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</si>
  <si>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</si>
  <si>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</si>
  <si>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</si>
  <si>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</si>
  <si>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</si>
  <si>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</si>
  <si>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</si>
  <si>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</si>
  <si>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</si>
  <si>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</si>
  <si>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</si>
  <si>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</si>
  <si>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</si>
  <si>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</si>
  <si>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</si>
  <si>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</si>
  <si>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</si>
  <si>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</si>
  <si>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</si>
  <si>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</si>
  <si>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</si>
  <si>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</si>
  <si>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</si>
  <si>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</si>
  <si>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</si>
  <si>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</si>
  <si>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</si>
  <si>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</si>
  <si>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</si>
  <si>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</si>
  <si>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</si>
  <si>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</si>
  <si>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</si>
  <si>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</si>
  <si>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</si>
  <si>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</si>
  <si>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</si>
  <si>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</si>
  <si>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</si>
  <si>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</si>
  <si>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</si>
  <si>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</si>
  <si>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</si>
  <si>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</si>
  <si>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</si>
  <si>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</si>
  <si>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</si>
  <si>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</si>
  <si>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</si>
  <si>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</si>
  <si>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</si>
  <si>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</si>
  <si>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</si>
  <si>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</si>
  <si>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</si>
  <si>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</si>
  <si>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</si>
  <si>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</si>
  <si>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</si>
  <si>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</si>
  <si>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</si>
  <si>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</si>
  <si>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</si>
  <si>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</si>
  <si>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</si>
  <si>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</si>
  <si>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</si>
  <si>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</si>
  <si>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</si>
  <si>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</si>
  <si>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</si>
  <si>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</si>
  <si>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</si>
  <si>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</si>
  <si>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</si>
  <si>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</si>
  <si>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</si>
  <si>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</si>
  <si>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</si>
  <si>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</si>
  <si>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</si>
  <si>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</si>
  <si>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</si>
  <si>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</si>
  <si>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</si>
  <si>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</si>
  <si>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</si>
  <si>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</si>
  <si>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</si>
  <si>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</si>
  <si>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</si>
  <si>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</si>
  <si>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</si>
  <si>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</si>
  <si>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</si>
  <si>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</si>
  <si>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</si>
  <si>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</si>
  <si>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</si>
  <si>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</si>
  <si>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</si>
  <si>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</si>
  <si>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</si>
  <si>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</si>
  <si>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</si>
  <si>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</si>
  <si>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</si>
  <si>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</si>
  <si>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</si>
  <si>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</si>
  <si>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</si>
  <si>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</si>
  <si>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</si>
  <si>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</si>
  <si>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</si>
  <si>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</si>
  <si>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</si>
  <si>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</si>
  <si>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</si>
  <si>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</si>
  <si>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</si>
  <si>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</si>
  <si>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</si>
  <si>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</si>
  <si>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</si>
  <si>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</si>
  <si>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</si>
  <si>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</si>
  <si>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</si>
  <si>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</si>
  <si>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</si>
  <si>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</si>
  <si>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</si>
  <si>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</si>
  <si>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</si>
  <si>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</si>
  <si>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</si>
  <si>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</si>
  <si>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</si>
  <si>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</si>
  <si>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</si>
  <si>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</si>
  <si>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</si>
  <si>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</si>
  <si>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</si>
  <si>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</si>
  <si>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</si>
  <si>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</si>
  <si>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</si>
  <si>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</si>
  <si>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</si>
  <si>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</si>
  <si>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</si>
  <si>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</si>
  <si>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</si>
  <si>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</si>
  <si>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</si>
  <si>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</si>
  <si>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</si>
  <si>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</si>
  <si>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</si>
  <si>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</si>
  <si>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</si>
  <si>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</si>
  <si>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</si>
  <si>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</si>
  <si>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</si>
  <si>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</si>
  <si>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</si>
  <si>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</si>
  <si>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</si>
  <si>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</si>
  <si>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</si>
  <si>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</si>
  <si>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</si>
  <si>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</si>
  <si>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</si>
  <si>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</si>
  <si>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</si>
  <si>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</si>
  <si>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</si>
  <si>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</si>
  <si>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</si>
  <si>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</si>
  <si>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</si>
  <si>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</si>
  <si>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</si>
  <si>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</si>
  <si>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</si>
  <si>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</si>
  <si>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</si>
  <si>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</si>
  <si>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</si>
  <si>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</si>
  <si>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</si>
  <si>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</si>
  <si>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</si>
  <si>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</si>
  <si>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</si>
  <si>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</si>
  <si>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</si>
  <si>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</si>
  <si>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</si>
  <si>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</si>
  <si>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</si>
  <si>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</si>
  <si>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</si>
  <si>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</si>
  <si>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</si>
  <si>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</si>
  <si>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</si>
  <si>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</si>
  <si>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</si>
  <si>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</si>
  <si>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</si>
  <si>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</si>
  <si>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</si>
  <si>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</si>
  <si>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</si>
  <si>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</si>
  <si>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</si>
  <si>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</si>
  <si>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</si>
  <si>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</si>
  <si>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</si>
  <si>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</si>
  <si>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</si>
  <si>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</si>
  <si>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</si>
  <si>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</si>
  <si>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</si>
  <si>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</si>
  <si>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</si>
  <si>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</si>
  <si>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</si>
  <si>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</si>
  <si>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</si>
  <si>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</si>
  <si>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</si>
  <si>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</si>
  <si>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</si>
  <si>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</si>
  <si>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</si>
  <si>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</si>
  <si>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</si>
  <si>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</si>
  <si>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</si>
  <si>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</si>
  <si>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</si>
  <si>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</si>
  <si>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</si>
  <si>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</si>
  <si>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</si>
  <si>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</si>
  <si>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</si>
  <si>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</si>
  <si>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</si>
  <si>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</si>
  <si>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</si>
  <si>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</si>
  <si>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</si>
  <si>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</si>
  <si>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</si>
  <si>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</si>
  <si>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</si>
  <si>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</si>
  <si>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</si>
  <si>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</si>
  <si>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</si>
  <si>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</si>
  <si>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</si>
  <si>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</si>
  <si>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</si>
  <si>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</si>
  <si>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</si>
  <si>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</si>
  <si>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</si>
  <si>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</si>
  <si>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</si>
  <si>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</si>
  <si>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</si>
  <si>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</si>
  <si>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</si>
  <si>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</si>
  <si>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</si>
  <si>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</si>
  <si>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</si>
  <si>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</si>
  <si>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</si>
  <si>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</si>
  <si>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</si>
  <si>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</si>
  <si>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</si>
  <si>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</si>
  <si>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</si>
  <si>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</si>
  <si>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</si>
  <si>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</si>
  <si>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</si>
  <si>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</si>
  <si>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</si>
  <si>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</si>
  <si>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</si>
  <si>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</si>
  <si>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</si>
  <si>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</si>
  <si>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</si>
  <si>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</si>
  <si>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</si>
  <si>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</si>
  <si>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</si>
  <si>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</si>
  <si>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</si>
  <si>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</si>
  <si>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</si>
  <si>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</si>
  <si>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</si>
  <si>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</si>
  <si>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</si>
  <si>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</si>
  <si>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</si>
  <si>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</si>
  <si>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</si>
  <si>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</si>
  <si>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</si>
  <si>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</si>
  <si>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</si>
  <si>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</si>
  <si>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</si>
  <si>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</si>
  <si>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</si>
  <si>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</si>
  <si>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</si>
  <si>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</si>
  <si>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</si>
  <si>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</si>
  <si>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</si>
  <si>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</si>
  <si>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</si>
  <si>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</si>
  <si>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</si>
  <si>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</si>
  <si>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</si>
  <si>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</si>
  <si>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</si>
  <si>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</si>
  <si>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</si>
  <si>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</si>
  <si>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</si>
  <si>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</si>
  <si>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</si>
  <si>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</si>
  <si>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</si>
  <si>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</si>
  <si>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</si>
  <si>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</si>
  <si>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</si>
  <si>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</si>
  <si>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</si>
  <si>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</si>
  <si>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</si>
  <si>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</si>
  <si>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</si>
  <si>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</si>
  <si>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</si>
  <si>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</si>
  <si>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</si>
  <si>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</si>
  <si>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</si>
  <si>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</si>
  <si>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</si>
  <si>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</si>
  <si>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</si>
  <si>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</si>
  <si>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</si>
  <si>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</si>
  <si>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</si>
  <si>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</si>
  <si>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</si>
  <si>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</si>
  <si>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</si>
  <si>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</si>
  <si>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</si>
  <si>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</si>
  <si>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</si>
  <si>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</si>
  <si>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</si>
  <si>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</si>
  <si>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</si>
  <si>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</si>
  <si>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</si>
  <si>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</si>
  <si>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</si>
  <si>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</si>
  <si>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</si>
  <si>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</si>
  <si>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</si>
  <si>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</si>
  <si>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</si>
  <si>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</si>
  <si>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</si>
  <si>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</si>
  <si>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</si>
  <si>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</si>
  <si>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</si>
  <si>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</si>
  <si>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</si>
  <si>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</si>
  <si>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</si>
  <si>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</si>
  <si>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</si>
  <si>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</si>
  <si>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</si>
  <si>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</si>
  <si>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</si>
  <si>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</si>
  <si>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</si>
  <si>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</si>
  <si>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</si>
  <si>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</si>
  <si>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</si>
  <si>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</si>
  <si>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</si>
  <si>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</si>
  <si>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</si>
  <si>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</si>
  <si>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</si>
  <si>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</si>
  <si>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</si>
  <si>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</si>
  <si>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</si>
  <si>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</si>
  <si>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</si>
  <si>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</si>
  <si>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</si>
  <si>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</si>
  <si>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</si>
  <si>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</si>
  <si>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</si>
  <si>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</si>
  <si>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</si>
  <si>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</si>
  <si>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</si>
  <si>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</si>
  <si>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</si>
  <si>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</si>
  <si>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</si>
  <si>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</si>
  <si>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</si>
  <si>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</si>
  <si>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</si>
  <si>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</si>
  <si>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</si>
  <si>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</si>
  <si>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</si>
  <si>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</si>
  <si>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</si>
  <si>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</si>
  <si>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</si>
  <si>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</si>
  <si>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</si>
  <si>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</si>
  <si>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</si>
  <si>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</si>
  <si>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</si>
  <si>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</si>
  <si>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</si>
  <si>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</si>
  <si>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</si>
  <si>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</si>
  <si>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</si>
  <si>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</si>
  <si>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</si>
  <si>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</si>
  <si>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</si>
  <si>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</si>
  <si>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</si>
  <si>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</si>
  <si>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</si>
  <si>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</si>
  <si>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</si>
  <si>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</si>
  <si>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</si>
  <si>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</si>
  <si>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</si>
  <si>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</si>
  <si>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</si>
  <si>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</si>
  <si>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</si>
  <si>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</si>
  <si>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</si>
  <si>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</si>
  <si>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</si>
  <si>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</si>
  <si>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</si>
  <si>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</si>
  <si>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</si>
  <si>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</si>
  <si>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</si>
  <si>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</si>
  <si>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</si>
  <si>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</si>
  <si>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</si>
  <si>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</si>
  <si>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</si>
  <si>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</si>
  <si>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</si>
  <si>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</si>
  <si>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</si>
  <si>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</si>
  <si>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</si>
  <si>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</si>
  <si>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</si>
  <si>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</si>
  <si>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</si>
  <si>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</si>
  <si>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</si>
  <si>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</si>
  <si>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</si>
  <si>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</si>
  <si>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</si>
  <si>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</si>
  <si>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</si>
  <si>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</si>
  <si>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</si>
  <si>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</si>
  <si>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</si>
  <si>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</si>
  <si>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</si>
  <si>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</si>
  <si>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</si>
  <si>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</si>
  <si>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</si>
  <si>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</si>
  <si>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</si>
  <si>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</si>
  <si>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</si>
  <si>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</si>
  <si>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</si>
  <si>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</si>
  <si>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</si>
  <si>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</si>
  <si>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</si>
  <si>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</si>
  <si>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</si>
  <si>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</si>
  <si>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</si>
  <si>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</si>
  <si>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</si>
  <si>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</si>
  <si>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</si>
  <si>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</si>
  <si>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</si>
  <si>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</si>
  <si>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</si>
  <si>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</si>
  <si>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</si>
  <si>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</si>
  <si>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</si>
  <si>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</si>
  <si>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</si>
  <si>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</si>
  <si>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</si>
  <si>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</si>
  <si>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</si>
  <si>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</si>
  <si>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</si>
  <si>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</si>
  <si>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</si>
  <si>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</si>
  <si>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</si>
  <si>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</si>
  <si>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</si>
  <si>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</si>
  <si>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</si>
  <si>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</si>
  <si>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</si>
  <si>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</si>
  <si>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</si>
  <si>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</si>
  <si>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</si>
  <si>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</si>
  <si>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</si>
  <si>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</si>
  <si>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</si>
  <si>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</si>
  <si>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</si>
  <si>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</si>
  <si>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</si>
  <si>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</si>
  <si>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</si>
  <si>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</si>
  <si>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</si>
  <si>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</si>
  <si>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</si>
  <si>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</si>
  <si>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</si>
  <si>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</si>
  <si>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</si>
  <si>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</si>
  <si>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</si>
  <si>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</si>
  <si>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</si>
  <si>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</si>
  <si>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</si>
  <si>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</si>
  <si>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</si>
  <si>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</si>
  <si>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</si>
  <si>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</si>
  <si>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</si>
  <si>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</si>
  <si>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</si>
  <si>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</si>
  <si>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</si>
  <si>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</si>
  <si>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</si>
  <si>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</si>
  <si>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</si>
  <si>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</si>
  <si>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</si>
  <si>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</si>
  <si>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</si>
  <si>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</si>
  <si>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</si>
  <si>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</si>
  <si>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</si>
  <si>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</si>
  <si>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</si>
  <si>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</si>
  <si>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</si>
  <si>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</si>
  <si>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</si>
  <si>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</si>
  <si>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</si>
  <si>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</si>
  <si>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</si>
  <si>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</si>
  <si>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</si>
  <si>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</si>
  <si>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</si>
  <si>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</si>
  <si>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</si>
  <si>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</si>
  <si>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</si>
  <si>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</si>
  <si>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</si>
  <si>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</si>
  <si>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</si>
  <si>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</si>
  <si>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</si>
  <si>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</si>
  <si>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</si>
  <si>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</si>
  <si>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</si>
  <si>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</si>
  <si>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</si>
  <si>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</si>
  <si>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</si>
  <si>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</si>
  <si>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</si>
  <si>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</si>
  <si>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</si>
  <si>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</si>
  <si>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</si>
  <si>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</si>
  <si>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</si>
  <si>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</si>
  <si>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</si>
  <si>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</si>
  <si>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</si>
  <si>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</si>
  <si>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</si>
  <si>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</si>
  <si>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</si>
  <si>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</si>
  <si>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</si>
  <si>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</si>
  <si>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</si>
  <si>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</si>
  <si>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</si>
  <si>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</si>
  <si>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</si>
  <si>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</si>
  <si>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</si>
  <si>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</si>
  <si>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</si>
  <si>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</si>
  <si>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</si>
  <si>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</si>
  <si>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</si>
  <si>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</si>
  <si>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</si>
  <si>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</si>
  <si>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</si>
  <si>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</si>
  <si>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</si>
  <si>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</si>
  <si>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</si>
  <si>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</si>
  <si>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</si>
  <si>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</si>
  <si>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</si>
  <si>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</si>
  <si>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</si>
  <si>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</si>
  <si>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</si>
  <si>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</si>
  <si>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</si>
  <si>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</si>
  <si>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</si>
  <si>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</si>
  <si>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</si>
  <si>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</si>
  <si>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</si>
  <si>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</si>
  <si>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</si>
  <si>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</si>
  <si>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</si>
  <si>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</si>
  <si>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</si>
  <si>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</si>
  <si>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</si>
  <si>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</si>
  <si>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</si>
  <si>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</si>
  <si>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</si>
  <si>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</si>
  <si>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</si>
  <si>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</si>
  <si>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</si>
  <si>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</si>
  <si>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</si>
  <si>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</si>
  <si>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</si>
  <si>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</si>
  <si>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</si>
  <si>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</si>
  <si>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</si>
  <si>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</si>
  <si>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</si>
  <si>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</si>
  <si>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</si>
  <si>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</si>
  <si>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</si>
  <si>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</si>
  <si>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</si>
  <si>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</si>
  <si>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</si>
  <si>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</si>
  <si>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</si>
  <si>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</si>
  <si>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</si>
  <si>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</si>
  <si>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</si>
  <si>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</si>
  <si>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</si>
  <si>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</si>
  <si>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</si>
  <si>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</si>
  <si>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</si>
  <si>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</si>
  <si>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</si>
  <si>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</si>
  <si>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</si>
  <si>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</si>
  <si>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</si>
  <si>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</si>
  <si>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</si>
  <si>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</si>
  <si>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</si>
  <si>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</si>
  <si>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</si>
  <si>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</si>
  <si>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</si>
  <si>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</si>
  <si>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</si>
  <si>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</si>
  <si>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</si>
  <si>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</si>
  <si>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</si>
  <si>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</si>
  <si>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</si>
  <si>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</si>
  <si>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</si>
  <si>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</si>
  <si>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</si>
  <si>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</si>
  <si>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</si>
  <si>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</si>
  <si>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</si>
  <si>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</si>
  <si>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</si>
  <si>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</si>
  <si>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</si>
  <si>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</si>
  <si>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</si>
  <si>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</si>
  <si>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</si>
  <si>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</si>
  <si>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</si>
  <si>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</si>
  <si>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</si>
  <si>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</si>
  <si>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</si>
  <si>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</si>
  <si>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</si>
  <si>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</si>
  <si>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</si>
  <si>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</si>
  <si>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</si>
  <si>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</si>
  <si>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</si>
  <si>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</si>
  <si>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</si>
  <si>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</si>
  <si>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</si>
  <si>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</si>
  <si>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</si>
  <si>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</si>
  <si>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</si>
  <si>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</si>
  <si>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</si>
  <si>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</si>
  <si>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</si>
  <si>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</si>
  <si>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</si>
  <si>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</si>
  <si>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</si>
  <si>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</si>
  <si>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</si>
  <si>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</si>
  <si>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</si>
  <si>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</si>
  <si>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</si>
  <si>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</si>
  <si>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</si>
  <si>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</si>
  <si>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</si>
  <si>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</si>
  <si>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</si>
  <si>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</si>
  <si>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</si>
  <si>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</si>
  <si>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</si>
  <si>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</si>
  <si>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</si>
  <si>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</si>
  <si>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</si>
  <si>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</si>
  <si>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</si>
  <si>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</si>
  <si>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</si>
  <si>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</si>
  <si>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</si>
  <si>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</si>
  <si>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</si>
  <si>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</si>
  <si>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</si>
  <si>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</si>
  <si>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</si>
  <si>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</si>
  <si>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</si>
  <si>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</si>
  <si>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</si>
  <si>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</si>
  <si>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</si>
  <si>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</si>
  <si>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</si>
  <si>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</si>
  <si>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</si>
  <si>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</si>
  <si>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</si>
  <si>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</si>
  <si>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</si>
  <si>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</si>
  <si>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</si>
  <si>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</si>
  <si>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</si>
  <si>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</si>
  <si>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</si>
  <si>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</si>
  <si>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</si>
  <si>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</si>
  <si>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</si>
  <si>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</si>
  <si>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</si>
  <si>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</si>
  <si>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</si>
  <si>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</si>
  <si>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</si>
  <si>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</si>
  <si>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</si>
  <si>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</si>
  <si>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</si>
  <si>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</si>
  <si>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</si>
  <si>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</si>
  <si>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</si>
  <si>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</si>
  <si>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</si>
  <si>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</si>
  <si>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</si>
  <si>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</si>
  <si>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</si>
  <si>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</si>
  <si>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</si>
  <si>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</si>
  <si>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</si>
  <si>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</si>
  <si>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</si>
  <si>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</si>
  <si>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</si>
  <si>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</si>
  <si>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</si>
  <si>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</si>
  <si>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</si>
  <si>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</si>
  <si>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</si>
  <si>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</si>
  <si>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</si>
  <si>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</si>
  <si>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</si>
  <si>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</si>
  <si>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</si>
  <si>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</si>
  <si>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</si>
  <si>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</si>
  <si>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</si>
  <si>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</si>
  <si>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</si>
  <si>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</si>
  <si>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</si>
  <si>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</si>
  <si>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</si>
  <si>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</si>
  <si>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</si>
  <si>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</si>
  <si>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</si>
  <si>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</si>
  <si>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</si>
  <si>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</si>
  <si>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</si>
  <si>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</si>
  <si>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</si>
  <si>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</si>
  <si>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</si>
  <si>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</si>
  <si>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</si>
  <si>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</si>
  <si>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</si>
  <si>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</si>
  <si>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</si>
  <si>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</si>
  <si>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</si>
  <si>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</si>
  <si>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</si>
  <si>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</si>
  <si>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</si>
  <si>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</si>
  <si>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</si>
  <si>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</si>
  <si>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</si>
  <si>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</si>
  <si>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</si>
  <si>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</si>
  <si>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</si>
  <si>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</si>
  <si>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</si>
  <si>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</si>
  <si>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</si>
  <si>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</si>
  <si>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</si>
  <si>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</si>
  <si>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</si>
  <si>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</si>
  <si>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</si>
  <si>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</si>
  <si>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</si>
  <si>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</si>
  <si>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</si>
  <si>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</si>
  <si>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</si>
  <si>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</si>
  <si>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</si>
  <si>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</si>
  <si>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</si>
  <si>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</si>
  <si>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</si>
  <si>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</si>
  <si>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</si>
  <si>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</si>
  <si>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</si>
  <si>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</si>
  <si>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</si>
  <si>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</si>
  <si>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</si>
  <si>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</si>
  <si>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</si>
  <si>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</si>
  <si>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</si>
  <si>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</si>
  <si>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</si>
  <si>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</si>
  <si>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</si>
  <si>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</si>
  <si>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</si>
  <si>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</si>
  <si>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</si>
  <si>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</si>
  <si>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</si>
  <si>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</si>
  <si>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</si>
  <si>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</si>
  <si>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</si>
  <si>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</si>
  <si>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</si>
  <si>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</si>
  <si>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</si>
  <si>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</si>
  <si>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</si>
  <si>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</si>
  <si>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</si>
  <si>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</si>
  <si>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</si>
  <si>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</si>
  <si>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</si>
  <si>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</si>
  <si>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</si>
  <si>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</si>
  <si>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</si>
  <si>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</si>
  <si>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</si>
  <si>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</si>
  <si>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</si>
  <si>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</si>
  <si>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</si>
  <si>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</si>
  <si>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</si>
  <si>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</si>
  <si>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</si>
  <si>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</si>
  <si>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</si>
  <si>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</si>
  <si>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</si>
  <si>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</si>
  <si>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</si>
  <si>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</si>
  <si>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</si>
  <si>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</si>
  <si>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</si>
  <si>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</si>
  <si>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</si>
  <si>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</si>
  <si>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</si>
  <si>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</si>
  <si>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</si>
  <si>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</si>
  <si>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</si>
  <si>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</si>
  <si>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</si>
  <si>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</si>
  <si>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</si>
  <si>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</si>
  <si>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</si>
  <si>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</si>
  <si>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</si>
  <si>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</si>
  <si>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</si>
  <si>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</si>
  <si>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</si>
  <si>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</si>
  <si>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</si>
  <si>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</si>
  <si>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</si>
  <si>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</si>
  <si>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</si>
  <si>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</si>
  <si>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</si>
  <si>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</si>
  <si>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</si>
  <si>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</si>
  <si>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</si>
  <si>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</si>
  <si>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</si>
  <si>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</si>
  <si>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</si>
  <si>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</si>
  <si>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</si>
  <si>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</si>
  <si>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</si>
  <si>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</si>
  <si>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</si>
  <si>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</si>
  <si>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</si>
  <si>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</si>
  <si>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</si>
  <si>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</si>
  <si>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</si>
  <si>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</si>
  <si>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</si>
  <si>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</si>
  <si>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</si>
  <si>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</si>
  <si>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</si>
  <si>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</si>
  <si>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</si>
  <si>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</si>
  <si>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</si>
  <si>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</si>
  <si>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</si>
  <si>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</si>
  <si>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</si>
  <si>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</si>
  <si>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</si>
  <si>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</si>
  <si>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</si>
  <si>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</si>
  <si>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</si>
  <si>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</si>
  <si>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</si>
  <si>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</si>
  <si>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</si>
  <si>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</si>
  <si>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</si>
  <si>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</si>
  <si>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</si>
  <si>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</si>
  <si>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</si>
  <si>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</si>
  <si>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</si>
  <si>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</si>
  <si>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</si>
  <si>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</si>
  <si>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</si>
  <si>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</si>
  <si>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</si>
  <si>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</si>
  <si>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</si>
  <si>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</si>
  <si>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</si>
  <si>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</si>
  <si>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</si>
  <si>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</si>
  <si>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</si>
  <si>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</si>
  <si>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</si>
  <si>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</si>
  <si>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</si>
  <si>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</si>
  <si>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</si>
  <si>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</si>
  <si>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</si>
  <si>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</si>
  <si>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</si>
  <si>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</si>
  <si>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</si>
  <si>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</si>
  <si>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</si>
  <si>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</si>
  <si>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</si>
  <si>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</si>
  <si>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</si>
  <si>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</si>
  <si>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</si>
  <si>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</si>
  <si>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</si>
  <si>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</si>
  <si>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</si>
  <si>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</si>
  <si>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</si>
  <si>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</si>
  <si>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</si>
  <si>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</si>
  <si>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</si>
  <si>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</si>
  <si>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</si>
  <si>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</si>
  <si>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</si>
  <si>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</si>
  <si>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</si>
  <si>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</si>
  <si>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</si>
  <si>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</si>
  <si>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</si>
  <si>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</si>
  <si>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</si>
  <si>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</si>
  <si>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</si>
  <si>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</si>
  <si>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</si>
  <si>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</si>
  <si>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</si>
  <si>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</si>
  <si>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</si>
  <si>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</si>
  <si>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</si>
  <si>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</si>
  <si>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</si>
  <si>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</si>
  <si>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</si>
  <si>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</si>
  <si>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</si>
  <si>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</si>
  <si>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</si>
  <si>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</si>
  <si>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</si>
  <si>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</si>
  <si>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</si>
  <si>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</si>
  <si>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</si>
  <si>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</si>
  <si>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</si>
  <si>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</si>
  <si>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</si>
  <si>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</si>
  <si>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</si>
  <si>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</si>
  <si>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</si>
  <si>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</si>
  <si>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</si>
  <si>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</si>
  <si>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</si>
  <si>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</si>
  <si>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</si>
  <si>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</si>
  <si>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</si>
  <si>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</si>
  <si>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</si>
  <si>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</si>
  <si>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</si>
  <si>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</si>
  <si>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</si>
  <si>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</si>
  <si>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</si>
  <si>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</si>
  <si>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</si>
  <si>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</si>
  <si>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</si>
  <si>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</si>
  <si>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</si>
  <si>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</si>
  <si>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</si>
  <si>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</si>
  <si>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</si>
  <si>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</si>
  <si>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</si>
  <si>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</si>
  <si>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</si>
  <si>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</si>
  <si>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</si>
  <si>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</si>
  <si>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</si>
  <si>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</si>
  <si>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</si>
  <si>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</si>
  <si>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</si>
  <si>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</si>
  <si>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</si>
  <si>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</si>
  <si>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</si>
  <si>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</si>
  <si>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</si>
  <si>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</si>
  <si>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</si>
  <si>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</si>
  <si>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</si>
  <si>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</si>
  <si>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</si>
  <si>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</si>
  <si>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</si>
  <si>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</si>
  <si>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</si>
  <si>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</si>
  <si>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</si>
  <si>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</si>
  <si>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</si>
  <si>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</si>
  <si>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</si>
  <si>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</si>
  <si>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</si>
  <si>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</si>
  <si>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</si>
  <si>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</si>
  <si>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</si>
  <si>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</si>
  <si>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</si>
  <si>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</si>
  <si>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</si>
  <si>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</si>
  <si>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</si>
  <si>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</si>
  <si>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</si>
  <si>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</si>
  <si>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</si>
  <si>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</si>
  <si>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</si>
  <si>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</si>
  <si>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</si>
  <si>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</si>
  <si>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</si>
  <si>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</si>
  <si>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</si>
  <si>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</si>
  <si>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</si>
  <si>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</si>
  <si>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</si>
  <si>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</si>
  <si>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</si>
  <si>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</si>
  <si>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</si>
  <si>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</si>
  <si>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</si>
  <si>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</si>
  <si>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</si>
  <si>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</si>
  <si>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</si>
  <si>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</si>
  <si>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</si>
  <si>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</si>
  <si>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</si>
  <si>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</si>
  <si>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</si>
  <si>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</si>
  <si>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</si>
  <si>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</si>
  <si>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</si>
  <si>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</si>
  <si>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</si>
  <si>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</si>
  <si>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</si>
  <si>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</si>
  <si>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</si>
  <si>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</si>
  <si>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</si>
  <si>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</si>
  <si>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</si>
  <si>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</si>
  <si>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</si>
  <si>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</si>
  <si>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</si>
  <si>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</si>
  <si>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</si>
  <si>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</si>
  <si>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</si>
  <si>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</si>
  <si>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</si>
  <si>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</si>
  <si>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</si>
  <si>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</si>
  <si>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</si>
  <si>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</si>
  <si>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</si>
  <si>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</si>
  <si>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</si>
  <si>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</si>
  <si>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</si>
  <si>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</si>
  <si>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</si>
  <si>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</si>
  <si>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</si>
  <si>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</si>
  <si>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</si>
  <si>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</si>
  <si>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</si>
  <si>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</si>
  <si>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</si>
  <si>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</si>
  <si>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</si>
  <si>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</si>
  <si>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</si>
  <si>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</si>
  <si>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</si>
  <si>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</si>
  <si>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</si>
  <si>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</si>
  <si>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</si>
  <si>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</si>
  <si>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</si>
  <si>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</si>
  <si>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</si>
  <si>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</si>
  <si>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</si>
  <si>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</si>
  <si>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</si>
  <si>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</si>
  <si>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</si>
  <si>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</si>
  <si>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</si>
  <si>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</si>
  <si>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</si>
  <si>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</si>
  <si>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</si>
  <si>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</si>
  <si>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</si>
  <si>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</si>
  <si>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</si>
  <si>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</si>
  <si>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</si>
  <si>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</si>
  <si>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</si>
  <si>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</si>
  <si>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</si>
  <si>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</si>
  <si>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</si>
  <si>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</si>
  <si>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</si>
  <si>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</si>
  <si>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</si>
  <si>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</si>
  <si>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</si>
  <si>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</si>
  <si>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</si>
  <si>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</si>
  <si>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</si>
  <si>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</si>
  <si>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</si>
  <si>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</si>
  <si>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</si>
  <si>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</si>
  <si>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</si>
  <si>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</si>
  <si>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</si>
  <si>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</si>
  <si>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</si>
  <si>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</si>
  <si>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</si>
  <si>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</si>
  <si>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</si>
  <si>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</si>
  <si>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</si>
  <si>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</si>
  <si>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</si>
  <si>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</si>
  <si>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</si>
  <si>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</si>
  <si>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</si>
  <si>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</si>
  <si>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</si>
  <si>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</si>
  <si>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</si>
  <si>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</si>
  <si>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</si>
  <si>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</si>
  <si>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</si>
  <si>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</si>
  <si>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</si>
  <si>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</si>
  <si>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</si>
  <si>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</si>
  <si>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</si>
  <si>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</si>
  <si>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</si>
  <si>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</si>
  <si>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</si>
  <si>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</si>
  <si>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</si>
  <si>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</si>
  <si>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</si>
  <si>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</si>
  <si>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</si>
  <si>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</si>
  <si>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</si>
  <si>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</si>
  <si>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</si>
  <si>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</si>
  <si>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</si>
  <si>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</si>
  <si>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</si>
  <si>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</si>
  <si>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</si>
  <si>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</si>
  <si>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</si>
  <si>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</si>
  <si>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</si>
  <si>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</si>
  <si>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</si>
  <si>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</si>
  <si>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</si>
  <si>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</si>
  <si>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</si>
  <si>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</si>
  <si>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</si>
  <si>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</si>
  <si>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</si>
  <si>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</si>
  <si>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</si>
  <si>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</si>
  <si>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</si>
  <si>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</si>
  <si>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</si>
  <si>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</si>
  <si>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</si>
  <si>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</si>
  <si>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</si>
  <si>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</si>
  <si>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</si>
  <si>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</si>
  <si>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</si>
  <si>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</si>
  <si>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</si>
  <si>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</si>
  <si>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</si>
  <si>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</si>
  <si>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</si>
  <si>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</si>
  <si>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</si>
  <si>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</si>
  <si>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</si>
  <si>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</si>
  <si>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</si>
  <si>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</si>
  <si>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</si>
  <si>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</si>
  <si>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</si>
  <si>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</si>
  <si>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</si>
  <si>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</si>
  <si>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</si>
  <si>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</si>
  <si>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</si>
  <si>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</si>
  <si>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</si>
  <si>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</si>
  <si>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</si>
  <si>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</si>
  <si>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</si>
  <si>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</si>
  <si>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</si>
  <si>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</si>
  <si>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</si>
  <si>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</si>
  <si>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</si>
  <si>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</si>
  <si>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</si>
  <si>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</si>
  <si>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</si>
  <si>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</si>
  <si>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</si>
  <si>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</si>
  <si>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</si>
  <si>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</si>
  <si>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</si>
  <si>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</si>
  <si>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</si>
  <si>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</si>
  <si>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</si>
  <si>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</si>
  <si>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</si>
  <si>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</si>
  <si>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</si>
  <si>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</si>
  <si>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</si>
  <si>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</si>
  <si>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</si>
  <si>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</si>
  <si>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</si>
  <si>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</si>
  <si>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</si>
  <si>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</si>
  <si>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</si>
  <si>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</si>
  <si>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</si>
  <si>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</si>
  <si>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</si>
  <si>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</si>
  <si>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</si>
  <si>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</si>
  <si>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</si>
  <si>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</si>
  <si>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</si>
  <si>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</si>
  <si>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</si>
  <si>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</si>
  <si>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</si>
  <si>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</si>
  <si>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</si>
  <si>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</si>
  <si>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</si>
  <si>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</si>
  <si>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</si>
  <si>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</si>
  <si>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</si>
  <si>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</si>
  <si>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</si>
  <si>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</si>
  <si>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</si>
  <si>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</si>
  <si>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</si>
  <si>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</si>
  <si>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</si>
  <si>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</si>
  <si>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</si>
  <si>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</si>
  <si>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</si>
  <si>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</si>
  <si>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</si>
  <si>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</si>
  <si>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</si>
  <si>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</si>
  <si>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</si>
  <si>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</si>
  <si>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</si>
  <si>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</si>
  <si>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</si>
  <si>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</si>
  <si>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</si>
  <si>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</si>
  <si>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</si>
  <si>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</si>
  <si>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</si>
  <si>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</si>
  <si>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</si>
  <si>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</si>
  <si>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</si>
  <si>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</si>
  <si>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</si>
  <si>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</si>
  <si>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</si>
  <si>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</si>
  <si>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</si>
  <si>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</si>
  <si>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</si>
  <si>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</si>
  <si>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</si>
  <si>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</si>
  <si>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</si>
  <si>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</si>
  <si>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</si>
  <si>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</si>
  <si>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</si>
  <si>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</si>
  <si>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</si>
  <si>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</si>
  <si>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</si>
  <si>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</si>
  <si>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</si>
  <si>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</si>
  <si>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</si>
  <si>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</si>
  <si>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</si>
  <si>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</si>
  <si>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</si>
  <si>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</si>
  <si>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</si>
  <si>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</si>
  <si>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</si>
  <si>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</si>
  <si>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</si>
  <si>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</si>
  <si>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</si>
  <si>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</si>
  <si>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</si>
  <si>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</si>
  <si>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</si>
  <si>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</si>
  <si>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</si>
  <si>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</si>
  <si>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</si>
  <si>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</si>
  <si>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</si>
  <si>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</si>
  <si>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</si>
  <si>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</si>
  <si>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</si>
  <si>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</si>
  <si>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</si>
  <si>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</si>
  <si>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</si>
  <si>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</si>
  <si>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</si>
  <si>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</si>
  <si>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</si>
  <si>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</si>
  <si>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</si>
  <si>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</si>
  <si>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</si>
  <si>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</si>
  <si>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</si>
  <si>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</si>
  <si>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</si>
  <si>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</si>
  <si>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</si>
  <si>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</si>
  <si>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</si>
  <si>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</si>
  <si>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</si>
  <si>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</si>
  <si>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</si>
  <si>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</si>
  <si>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</si>
  <si>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</si>
  <si>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</si>
  <si>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</si>
  <si>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</si>
  <si>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</si>
  <si>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</si>
  <si>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</si>
  <si>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</si>
  <si>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</si>
  <si>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</si>
  <si>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</si>
  <si>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</si>
  <si>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</si>
  <si>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</si>
  <si>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</si>
  <si>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</si>
  <si>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</si>
  <si>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</si>
  <si>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</si>
  <si>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</si>
  <si>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</si>
  <si>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</si>
  <si>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</si>
  <si>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</si>
  <si>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</si>
  <si>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</si>
  <si>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</si>
  <si>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</si>
  <si>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</si>
  <si>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</si>
  <si>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</si>
  <si>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</si>
  <si>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</si>
  <si>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</si>
  <si>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</si>
  <si>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</si>
  <si>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</si>
  <si>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</si>
  <si>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</si>
  <si>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</si>
  <si>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</si>
  <si>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</si>
  <si>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</si>
  <si>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</si>
  <si>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</si>
  <si>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</si>
  <si>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</si>
  <si>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</si>
  <si>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</si>
  <si>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</si>
  <si>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</si>
  <si>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</si>
  <si>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</si>
  <si>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</si>
  <si>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</si>
  <si>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</si>
  <si>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</si>
  <si>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</si>
  <si>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</si>
  <si>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</si>
  <si>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</si>
  <si>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</si>
  <si>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</si>
  <si>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</si>
  <si>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</si>
  <si>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</si>
  <si>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</si>
  <si>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</si>
  <si>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</si>
  <si>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</si>
  <si>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</si>
  <si>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</si>
  <si>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</si>
  <si>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</si>
  <si>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</si>
  <si>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</si>
  <si>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</si>
  <si>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</si>
  <si>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</si>
  <si>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</si>
  <si>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</si>
  <si>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</si>
  <si>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</si>
  <si>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</si>
  <si>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</si>
  <si>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</si>
  <si>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</si>
  <si>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</si>
  <si>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</si>
  <si>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</si>
  <si>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</si>
  <si>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</si>
  <si>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</si>
  <si>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</si>
  <si>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</si>
  <si>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</si>
  <si>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</si>
  <si>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</si>
  <si>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</si>
  <si>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</si>
  <si>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</si>
  <si>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</si>
  <si>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</si>
  <si>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</si>
  <si>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</si>
  <si>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</si>
  <si>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</si>
  <si>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</si>
  <si>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</si>
  <si>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</si>
  <si>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</si>
  <si>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</si>
  <si>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</si>
  <si>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</si>
  <si>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</si>
  <si>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</si>
  <si>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</si>
  <si>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</si>
  <si>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</si>
  <si>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</si>
  <si>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</si>
  <si>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</si>
  <si>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</si>
  <si>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</si>
  <si>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</si>
  <si>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</si>
  <si>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</si>
  <si>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</si>
  <si>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</si>
  <si>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</si>
  <si>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</si>
  <si>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</si>
  <si>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</si>
  <si>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</si>
  <si>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</si>
  <si>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</si>
  <si>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</si>
  <si>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</si>
  <si>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</si>
  <si>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</si>
  <si>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</si>
  <si>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</si>
  <si>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</si>
  <si>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</si>
  <si>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</si>
  <si>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</si>
  <si>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</si>
  <si>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</si>
  <si>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</si>
  <si>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</si>
  <si>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</si>
  <si>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</si>
  <si>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</si>
  <si>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</si>
  <si>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</si>
  <si>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</si>
  <si>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</si>
  <si>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</si>
  <si>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</si>
  <si>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</si>
  <si>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</si>
  <si>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</si>
  <si>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</si>
  <si>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</si>
  <si>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</si>
  <si>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</si>
  <si>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</si>
  <si>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</si>
  <si>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</si>
  <si>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</si>
  <si>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</si>
  <si>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</si>
  <si>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</si>
  <si>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</si>
  <si>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</si>
  <si>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</si>
  <si>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</si>
  <si>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</si>
  <si>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</si>
  <si>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</si>
  <si>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</si>
  <si>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</si>
  <si>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</si>
  <si>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</si>
  <si>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</si>
  <si>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</si>
  <si>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</si>
  <si>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</si>
  <si>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</si>
  <si>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</si>
  <si>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</si>
  <si>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</si>
  <si>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</si>
  <si>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</si>
  <si>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</si>
  <si>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</si>
  <si>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</si>
  <si>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</si>
  <si>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</si>
  <si>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</si>
  <si>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</si>
  <si>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</si>
  <si>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</si>
  <si>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</si>
  <si>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</si>
  <si>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</si>
  <si>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</si>
  <si>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</si>
  <si>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</si>
  <si>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</si>
  <si>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</si>
  <si>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</si>
  <si>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</si>
  <si>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</si>
  <si>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</si>
  <si>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</si>
  <si>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</si>
  <si>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</si>
  <si>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</si>
  <si>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</si>
  <si>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</si>
  <si>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</si>
  <si>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</si>
  <si>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</si>
  <si>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</si>
  <si>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</si>
  <si>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</si>
  <si>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</si>
  <si>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</si>
  <si>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</si>
  <si>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</si>
  <si>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</si>
  <si>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</si>
  <si>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</si>
  <si>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</si>
  <si>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</si>
  <si>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</si>
  <si>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</si>
  <si>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</si>
  <si>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</si>
  <si>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</si>
  <si>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</si>
  <si>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</si>
  <si>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</si>
  <si>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</si>
  <si>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</si>
  <si>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</si>
  <si>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</si>
  <si>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</si>
  <si>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</si>
  <si>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</si>
  <si>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</si>
  <si>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</si>
  <si>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</si>
  <si>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</si>
  <si>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</si>
  <si>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</si>
  <si>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</si>
  <si>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</si>
  <si>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</si>
  <si>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</si>
  <si>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</si>
  <si>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</si>
  <si>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</si>
  <si>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</si>
  <si>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</si>
  <si>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</si>
  <si>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</si>
  <si>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</si>
  <si>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</si>
  <si>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</si>
  <si>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</si>
  <si>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</si>
  <si>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</si>
  <si>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</si>
  <si>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</si>
  <si>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</si>
  <si>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</si>
  <si>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</si>
  <si>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</si>
  <si>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</si>
  <si>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</si>
  <si>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</si>
  <si>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</si>
  <si>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</si>
  <si>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</si>
  <si>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</si>
  <si>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</si>
  <si>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</si>
  <si>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</si>
  <si>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</si>
  <si>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</si>
  <si>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</si>
  <si>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</si>
  <si>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</si>
  <si>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</si>
  <si>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</si>
  <si>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</si>
  <si>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</si>
  <si>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</si>
  <si>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</si>
  <si>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</si>
  <si>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</si>
  <si>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</si>
  <si>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</si>
  <si>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</si>
  <si>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</si>
  <si>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</si>
  <si>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</si>
  <si>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</si>
  <si>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</si>
  <si>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</si>
  <si>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</si>
  <si>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</si>
  <si>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</si>
  <si>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</si>
  <si>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</si>
  <si>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</si>
  <si>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</si>
  <si>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</si>
  <si>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</si>
  <si>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</si>
  <si>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</si>
  <si>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</si>
  <si>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</si>
  <si>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</si>
  <si>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</si>
  <si>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</si>
  <si>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</si>
  <si>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</si>
  <si>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</si>
  <si>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</si>
  <si>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</si>
  <si>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</si>
  <si>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</si>
  <si>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</si>
  <si>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</si>
  <si>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</si>
  <si>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</si>
  <si>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</si>
  <si>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</si>
  <si>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</si>
  <si>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</si>
  <si>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</si>
  <si>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</si>
  <si>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</si>
  <si>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</si>
  <si>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</si>
  <si>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</si>
  <si>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</si>
  <si>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</si>
  <si>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</si>
  <si>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</si>
  <si>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</si>
  <si>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</si>
  <si>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</si>
  <si>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</si>
  <si>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</si>
  <si>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</si>
  <si>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</si>
  <si>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</si>
  <si>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</si>
  <si>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</si>
  <si>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</si>
  <si>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</si>
  <si>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</si>
  <si>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</si>
  <si>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</si>
  <si>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</si>
  <si>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</si>
  <si>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</si>
  <si>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</si>
  <si>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</si>
  <si>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</si>
  <si>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</si>
  <si>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</si>
  <si>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</si>
  <si>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</si>
  <si>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</si>
  <si>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</si>
  <si>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</si>
  <si>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</si>
  <si>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</si>
  <si>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</si>
  <si>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</si>
  <si>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</si>
  <si>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</si>
  <si>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</si>
  <si>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</si>
  <si>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</si>
  <si>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</si>
  <si>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</si>
  <si>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</si>
  <si>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</si>
  <si>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</si>
  <si>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</si>
  <si>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</si>
  <si>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</si>
  <si>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</si>
  <si>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</si>
  <si>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</si>
  <si>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</si>
  <si>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</si>
  <si>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</si>
  <si>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</si>
  <si>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</si>
  <si>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</si>
  <si>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</si>
  <si>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</si>
  <si>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</si>
  <si>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</si>
  <si>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</si>
  <si>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</si>
  <si>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</si>
  <si>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</si>
  <si>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</si>
  <si>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</si>
  <si>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</si>
  <si>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</si>
  <si>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</si>
  <si>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</si>
  <si>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</si>
  <si>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</si>
  <si>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</si>
  <si>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</si>
  <si>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</si>
  <si>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</si>
  <si>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</si>
  <si>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</si>
  <si>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</si>
  <si>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</si>
  <si>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</si>
  <si>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</si>
  <si>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</si>
  <si>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</si>
  <si>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</si>
  <si>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</si>
  <si>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</si>
  <si>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</si>
  <si>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</si>
  <si>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</si>
  <si>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</si>
  <si>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</si>
  <si>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</si>
  <si>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</si>
  <si>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</si>
  <si>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</si>
  <si>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</si>
  <si>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</si>
  <si>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</si>
  <si>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</si>
  <si>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</si>
  <si>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</si>
  <si>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</si>
  <si>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</si>
  <si>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</si>
  <si>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</si>
  <si>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</si>
  <si>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</si>
  <si>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</si>
  <si>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</si>
  <si>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</si>
  <si>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</si>
  <si>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</si>
  <si>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</si>
  <si>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</si>
  <si>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</si>
  <si>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</si>
  <si>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</si>
  <si>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</si>
  <si>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</si>
  <si>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</si>
  <si>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</si>
  <si>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</si>
  <si>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</si>
  <si>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</si>
  <si>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</si>
  <si>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</si>
  <si>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</si>
  <si>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</si>
  <si>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</si>
  <si>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</si>
  <si>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</si>
  <si>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</si>
  <si>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</si>
  <si>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</si>
  <si>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</si>
  <si>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</si>
  <si>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</si>
  <si>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</si>
  <si>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</si>
  <si>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</si>
  <si>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</si>
  <si>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</si>
  <si>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</si>
  <si>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</si>
  <si>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</si>
  <si>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</si>
  <si>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</si>
  <si>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</si>
  <si>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</si>
  <si>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</si>
  <si>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</si>
  <si>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</si>
  <si>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</si>
  <si>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</si>
  <si>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</si>
  <si>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</si>
  <si>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</si>
  <si>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</si>
  <si>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</si>
  <si>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</si>
  <si>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</si>
  <si>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</si>
  <si>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</si>
  <si>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</si>
  <si>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</si>
  <si>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</si>
  <si>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</si>
  <si>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</si>
  <si>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</si>
  <si>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</si>
  <si>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</si>
  <si>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</si>
  <si>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</si>
  <si>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</si>
  <si>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</si>
  <si>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</si>
  <si>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</si>
  <si>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</si>
  <si>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</si>
  <si>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</si>
  <si>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</si>
  <si>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</si>
  <si>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</si>
  <si>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</si>
  <si>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</si>
  <si>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</si>
  <si>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</si>
  <si>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</si>
  <si>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</si>
  <si>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</si>
  <si>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</si>
  <si>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</si>
  <si>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</si>
  <si>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</si>
  <si>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</si>
  <si>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</si>
  <si>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</si>
  <si>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</si>
  <si>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</si>
  <si>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</si>
  <si>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</si>
  <si>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</si>
  <si>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</si>
  <si>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</si>
  <si>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</si>
  <si>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</si>
  <si>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</si>
  <si>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</si>
  <si>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</si>
  <si>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</si>
  <si>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</si>
  <si>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</si>
  <si>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</si>
  <si>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</si>
  <si>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</si>
  <si>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</si>
  <si>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</si>
  <si>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</si>
  <si>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</si>
  <si>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</si>
  <si>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</si>
  <si>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</si>
  <si>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</si>
  <si>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</si>
  <si>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</si>
  <si>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</si>
  <si>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</si>
  <si>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</si>
  <si>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</si>
  <si>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</si>
  <si>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</si>
  <si>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</si>
  <si>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</si>
  <si>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</si>
  <si>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</si>
  <si>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</si>
  <si>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</si>
  <si>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</si>
  <si>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</si>
  <si>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</si>
  <si>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</si>
  <si>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</si>
  <si>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</si>
  <si>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</si>
  <si>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</si>
  <si>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</si>
  <si>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</si>
  <si>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</si>
  <si>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</si>
  <si>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</si>
  <si>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</si>
  <si>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</si>
  <si>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</si>
  <si>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</si>
  <si>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</si>
  <si>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</si>
  <si>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</si>
  <si>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</si>
  <si>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</si>
  <si>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</si>
  <si>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</si>
  <si>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</si>
  <si>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</si>
  <si>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</si>
  <si>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</si>
  <si>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</si>
  <si>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</si>
  <si>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</si>
  <si>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</si>
  <si>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</si>
  <si>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</si>
  <si>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</si>
  <si>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</si>
  <si>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</si>
  <si>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</si>
  <si>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</si>
  <si>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</si>
  <si>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</si>
  <si>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</si>
  <si>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</si>
  <si>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</si>
  <si>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</si>
  <si>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</si>
  <si>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</si>
  <si>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</si>
  <si>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</si>
  <si>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</si>
  <si>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</si>
  <si>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</si>
  <si>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</si>
  <si>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</si>
  <si>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</si>
  <si>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</si>
  <si>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</si>
  <si>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</si>
  <si>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</si>
  <si>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</si>
  <si>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</si>
  <si>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</si>
  <si>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</si>
  <si>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</si>
  <si>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</si>
  <si>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</si>
  <si>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</si>
  <si>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</si>
  <si>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</si>
  <si>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</si>
  <si>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</si>
  <si>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</si>
  <si>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</si>
  <si>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</si>
  <si>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</si>
  <si>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</si>
  <si>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</si>
  <si>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</si>
  <si>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</si>
  <si>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</si>
  <si>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</si>
  <si>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</si>
  <si>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</si>
  <si>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</si>
  <si>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</si>
  <si>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</si>
  <si>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</si>
  <si>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</si>
  <si>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</si>
  <si>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</si>
  <si>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</si>
  <si>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</si>
  <si>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</si>
  <si>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</si>
  <si>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</si>
  <si>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</si>
  <si>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</si>
  <si>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</si>
  <si>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</si>
  <si>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</si>
  <si>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</si>
  <si>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</si>
  <si>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</si>
  <si>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</si>
  <si>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</si>
  <si>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</si>
  <si>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</si>
  <si>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</si>
  <si>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</si>
  <si>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</si>
  <si>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</si>
  <si>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</si>
  <si>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</si>
  <si>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</si>
  <si>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</si>
  <si>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</si>
  <si>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</si>
  <si>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</si>
  <si>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</si>
  <si>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</si>
  <si>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</si>
  <si>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</si>
  <si>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</si>
  <si>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</si>
  <si>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</si>
  <si>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</si>
  <si>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</si>
  <si>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</si>
  <si>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</si>
  <si>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</si>
  <si>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</si>
  <si>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</si>
  <si>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</si>
  <si>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</si>
  <si>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</si>
  <si>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</si>
  <si>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</si>
  <si>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</si>
  <si>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</si>
  <si>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</si>
  <si>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</si>
  <si>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</si>
  <si>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</si>
  <si>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</si>
  <si>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</si>
  <si>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</si>
  <si>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</si>
  <si>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</si>
  <si>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</si>
  <si>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</si>
  <si>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</si>
  <si>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</si>
  <si>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</si>
  <si>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</si>
  <si>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</si>
  <si>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</si>
  <si>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</si>
  <si>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</si>
  <si>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</si>
  <si>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</si>
  <si>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</si>
  <si>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</si>
  <si>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</si>
  <si>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</si>
  <si>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</si>
  <si>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</si>
  <si>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</si>
  <si>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</si>
  <si>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</si>
  <si>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</si>
  <si>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</si>
  <si>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</si>
  <si>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</si>
  <si>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</si>
  <si>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</si>
  <si>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</si>
  <si>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</si>
  <si>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</si>
  <si>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</si>
  <si>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</si>
  <si>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</si>
  <si>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</si>
  <si>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</si>
  <si>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</si>
  <si>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</si>
  <si>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</si>
  <si>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</si>
  <si>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</si>
  <si>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</si>
  <si>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</si>
  <si>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</si>
  <si>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</si>
  <si>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</si>
  <si>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</si>
  <si>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</si>
  <si>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</si>
  <si>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</si>
  <si>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</si>
  <si>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</si>
  <si>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</si>
  <si>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</si>
  <si>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</si>
  <si>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</si>
  <si>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</si>
  <si>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</si>
  <si>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</si>
  <si>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</si>
  <si>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</si>
  <si>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</si>
  <si>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</si>
  <si>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</si>
  <si>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</si>
  <si>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</si>
  <si>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</si>
  <si>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</si>
  <si>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</si>
  <si>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</si>
  <si>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</si>
  <si>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</si>
  <si>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</si>
  <si>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</si>
  <si>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</si>
  <si>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</si>
  <si>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</si>
  <si>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</si>
  <si>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</si>
  <si>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</si>
  <si>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</si>
  <si>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</si>
  <si>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</si>
  <si>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</si>
  <si>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</si>
  <si>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</si>
  <si>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</si>
  <si>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</si>
  <si>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</si>
  <si>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</si>
  <si>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</si>
  <si>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</si>
  <si>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</si>
  <si>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</si>
  <si>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</si>
  <si>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</si>
  <si>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</si>
  <si>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</si>
  <si>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</si>
  <si>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</si>
  <si>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</si>
  <si>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</si>
  <si>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</si>
  <si>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</si>
  <si>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</si>
  <si>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</si>
  <si>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</si>
  <si>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</si>
  <si>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</si>
  <si>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</si>
  <si>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</si>
  <si>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</si>
  <si>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</si>
  <si>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</si>
  <si>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</si>
  <si>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</si>
  <si>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</si>
  <si>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</si>
  <si>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</si>
  <si>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</si>
  <si>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</si>
  <si>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</si>
  <si>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</si>
  <si>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</si>
  <si>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</si>
  <si>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</si>
  <si>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</si>
  <si>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</si>
  <si>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</si>
  <si>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</si>
  <si>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</si>
  <si>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</si>
  <si>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</si>
  <si>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</si>
  <si>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</si>
  <si>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</si>
  <si>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</si>
  <si>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</si>
  <si>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</si>
  <si>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</si>
  <si>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</si>
  <si>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</si>
  <si>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</si>
  <si>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</si>
  <si>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</si>
  <si>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</si>
  <si>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</si>
  <si>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</si>
  <si>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</si>
  <si>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</si>
  <si>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</si>
  <si>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</si>
  <si>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</si>
  <si>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</si>
  <si>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</si>
  <si>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</si>
  <si>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</si>
  <si>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</si>
  <si>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</si>
  <si>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</si>
  <si>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</si>
  <si>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</si>
  <si>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</si>
  <si>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</si>
  <si>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</si>
  <si>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</si>
  <si>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</si>
  <si>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</si>
  <si>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</si>
  <si>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</si>
  <si>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</si>
  <si>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</si>
  <si>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</si>
  <si>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</si>
  <si>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</si>
  <si>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</si>
  <si>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</si>
  <si>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</si>
  <si>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</si>
  <si>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</si>
  <si>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</si>
  <si>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</si>
  <si>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</si>
  <si>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</si>
  <si>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</si>
  <si>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</si>
  <si>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</si>
  <si>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</si>
  <si>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</si>
  <si>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</si>
  <si>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</si>
  <si>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</si>
  <si>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</si>
  <si>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</si>
  <si>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</si>
  <si>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</si>
  <si>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</si>
  <si>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</si>
  <si>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</si>
  <si>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</si>
  <si>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</si>
  <si>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</si>
  <si>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</si>
  <si>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</si>
  <si>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</si>
  <si>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</si>
  <si>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</si>
  <si>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</si>
  <si>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</si>
  <si>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</si>
  <si>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</si>
  <si>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</si>
  <si>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</si>
  <si>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</si>
  <si>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</si>
  <si>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</si>
  <si>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</si>
  <si>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</si>
  <si>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</si>
  <si>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</si>
  <si>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</si>
  <si>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</si>
  <si>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</si>
  <si>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</si>
  <si>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</si>
  <si>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</si>
  <si>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</si>
  <si>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</si>
  <si>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</si>
  <si>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</si>
  <si>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</si>
  <si>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</si>
  <si>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</si>
  <si>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</si>
  <si>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</si>
  <si>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</si>
  <si>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</si>
  <si>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</si>
  <si>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</si>
  <si>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</si>
  <si>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</si>
  <si>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</si>
  <si>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</si>
  <si>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</si>
  <si>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</si>
  <si>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</si>
  <si>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</si>
  <si>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</si>
  <si>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</si>
  <si>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</si>
  <si>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</si>
  <si>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</si>
  <si>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</si>
  <si>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</si>
  <si>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</si>
  <si>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</si>
  <si>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</si>
  <si>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</si>
  <si>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</si>
  <si>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</si>
  <si>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</si>
  <si>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</si>
  <si>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</si>
  <si>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</si>
  <si>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</si>
  <si>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</si>
  <si>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</si>
  <si>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</si>
  <si>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</si>
  <si>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</si>
  <si>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</si>
  <si>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</si>
  <si>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</si>
  <si>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</si>
  <si>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</si>
  <si>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</si>
  <si>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</si>
  <si>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</si>
  <si>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</si>
  <si>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</si>
  <si>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</si>
  <si>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</si>
  <si>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</si>
  <si>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</si>
  <si>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</si>
  <si>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</si>
  <si>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</si>
  <si>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</si>
  <si>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</si>
  <si>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</si>
  <si>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</si>
  <si>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</si>
  <si>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</si>
  <si>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</si>
  <si>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</si>
  <si>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</si>
  <si>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</si>
  <si>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</si>
  <si>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</si>
  <si>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</si>
  <si>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</si>
  <si>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</si>
  <si>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</si>
  <si>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</si>
  <si>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</si>
  <si>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</si>
  <si>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</si>
  <si>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</si>
  <si>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</si>
  <si>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</si>
  <si>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</si>
  <si>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</si>
  <si>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</si>
  <si>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</si>
  <si>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</si>
  <si>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</si>
  <si>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</si>
  <si>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</si>
  <si>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</si>
  <si>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</si>
  <si>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</si>
  <si>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</si>
  <si>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</si>
  <si>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</si>
  <si>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</si>
  <si>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</si>
  <si>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</si>
  <si>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</si>
  <si>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</si>
  <si>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</si>
  <si>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</si>
  <si>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</si>
  <si>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</si>
  <si>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</si>
  <si>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</si>
  <si>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</si>
  <si>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</si>
  <si>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</si>
  <si>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</si>
  <si>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</si>
  <si>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</si>
  <si>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</si>
  <si>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</si>
  <si>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</si>
  <si>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</si>
  <si>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</si>
  <si>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</si>
  <si>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</si>
  <si>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</si>
  <si>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</si>
  <si>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</si>
  <si>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</si>
  <si>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</si>
  <si>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</si>
  <si>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</si>
  <si>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</si>
  <si>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</si>
  <si>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</si>
  <si>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</si>
  <si>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</si>
  <si>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</si>
  <si>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</si>
  <si>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</si>
  <si>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</si>
  <si>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</si>
  <si>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</si>
  <si>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</si>
  <si>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</si>
  <si>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</si>
  <si>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</si>
  <si>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</si>
  <si>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</si>
  <si>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</si>
  <si>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</si>
  <si>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</si>
  <si>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</si>
  <si>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</si>
  <si>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</si>
  <si>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</si>
  <si>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</si>
  <si>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</si>
  <si>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</si>
  <si>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</si>
  <si>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</si>
  <si>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</si>
  <si>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</si>
  <si>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</si>
  <si>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</si>
  <si>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</si>
  <si>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</si>
  <si>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</si>
  <si>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</si>
  <si>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</si>
  <si>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</si>
  <si>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</si>
  <si>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</si>
  <si>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</si>
  <si>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</si>
  <si>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</si>
  <si>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</si>
  <si>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</si>
  <si>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</si>
  <si>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</si>
  <si>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</si>
  <si>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</si>
  <si>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</si>
  <si>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</si>
  <si>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</si>
  <si>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</si>
  <si>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</si>
  <si>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</si>
  <si>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</si>
  <si>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</si>
  <si>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</si>
  <si>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</si>
  <si>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</si>
  <si>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</si>
  <si>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</si>
  <si>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</si>
  <si>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</si>
  <si>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</si>
  <si>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</si>
  <si>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</si>
  <si>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</si>
  <si>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</si>
  <si>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</si>
  <si>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</si>
  <si>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</si>
  <si>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</si>
  <si>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</si>
  <si>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</si>
  <si>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</si>
  <si>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</si>
  <si>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</si>
  <si>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</si>
  <si>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</si>
  <si>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</si>
  <si>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</si>
  <si>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</si>
  <si>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</si>
  <si>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</si>
  <si>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</si>
  <si>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</si>
  <si>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</si>
  <si>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</si>
  <si>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</si>
  <si>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</si>
  <si>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</si>
  <si>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</si>
  <si>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</si>
  <si>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</si>
  <si>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</si>
  <si>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</si>
  <si>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</si>
  <si>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</si>
  <si>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</si>
  <si>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</si>
  <si>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</si>
  <si>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</si>
  <si>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</si>
  <si>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</si>
  <si>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</si>
  <si>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</si>
  <si>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</si>
  <si>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</si>
  <si>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</si>
  <si>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</si>
  <si>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</si>
  <si>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</si>
  <si>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</si>
  <si>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</si>
  <si>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</si>
  <si>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</si>
  <si>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</si>
  <si>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</si>
  <si>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</si>
  <si>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</si>
  <si>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</si>
  <si>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</si>
  <si>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</si>
  <si>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</si>
  <si>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</si>
  <si>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</si>
  <si>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</si>
  <si>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</si>
  <si>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</si>
  <si>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</si>
  <si>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</si>
  <si>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</si>
  <si>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</si>
  <si>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</si>
  <si>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</si>
  <si>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</si>
  <si>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</si>
  <si>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</si>
  <si>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</si>
  <si>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</si>
  <si>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</si>
  <si>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</si>
  <si>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</si>
  <si>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</si>
  <si>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</si>
  <si>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</si>
  <si>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</si>
  <si>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</si>
  <si>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</si>
  <si>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</si>
  <si>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</si>
  <si>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</si>
  <si>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</si>
  <si>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</si>
  <si>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</si>
  <si>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</si>
  <si>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</si>
  <si>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</si>
  <si>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</si>
  <si>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</si>
  <si>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</si>
  <si>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</si>
  <si>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</si>
  <si>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</si>
  <si>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</si>
  <si>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</si>
  <si>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</si>
  <si>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</si>
  <si>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</si>
  <si>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</si>
  <si>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</si>
  <si>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</si>
  <si>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</si>
  <si>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</si>
  <si>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</si>
  <si>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</si>
  <si>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</si>
  <si>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</si>
  <si>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</si>
  <si>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</si>
  <si>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</si>
  <si>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</si>
  <si>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</si>
  <si>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</si>
  <si>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</si>
  <si>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</si>
  <si>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</si>
  <si>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</si>
  <si>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</si>
  <si>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</si>
  <si>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</si>
  <si>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</si>
  <si>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</si>
  <si>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</si>
  <si>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</si>
  <si>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</si>
  <si>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</si>
  <si>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</si>
  <si>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</si>
  <si>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</si>
  <si>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</si>
  <si>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</si>
  <si>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</si>
  <si>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</si>
  <si>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</si>
  <si>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</si>
  <si>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</si>
  <si>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</si>
  <si>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</si>
  <si>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</si>
  <si>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</si>
  <si>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</si>
  <si>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</si>
  <si>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</si>
  <si>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</si>
  <si>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</si>
  <si>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</si>
  <si>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</si>
  <si>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</si>
  <si>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</si>
  <si>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</si>
  <si>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</si>
  <si>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</si>
  <si>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</si>
  <si>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</si>
  <si>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</si>
  <si>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</si>
  <si>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</si>
  <si>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</si>
  <si>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</si>
  <si>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</si>
  <si>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</si>
  <si>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</si>
  <si>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</si>
  <si>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</si>
  <si>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</si>
  <si>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</si>
  <si>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</si>
  <si>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</si>
  <si>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</si>
  <si>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</si>
  <si>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</si>
  <si>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</si>
  <si>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</si>
  <si>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</si>
  <si>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</si>
  <si>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</si>
  <si>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</si>
  <si>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</si>
  <si>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</si>
  <si>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</si>
  <si>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</si>
  <si>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</si>
  <si>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</si>
  <si>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</si>
  <si>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</si>
  <si>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</si>
  <si>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</si>
  <si>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</si>
  <si>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</si>
  <si>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</si>
  <si>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</si>
  <si>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</si>
  <si>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</si>
  <si>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</si>
  <si>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</si>
  <si>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</si>
  <si>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</si>
  <si>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</si>
  <si>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</si>
  <si>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</si>
  <si>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</si>
  <si>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</si>
  <si>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</si>
  <si>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</si>
  <si>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</si>
  <si>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</si>
  <si>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</si>
  <si>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</si>
  <si>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</si>
  <si>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</si>
  <si>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</si>
  <si>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</si>
  <si>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</si>
  <si>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</si>
  <si>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</si>
  <si>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</si>
  <si>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</si>
  <si>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</si>
  <si>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</si>
  <si>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</si>
  <si>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</si>
  <si>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</si>
  <si>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</si>
  <si>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</si>
  <si>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</si>
  <si>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</si>
  <si>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</si>
  <si>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</si>
  <si>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</si>
  <si>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</si>
  <si>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</si>
  <si>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</si>
  <si>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</si>
  <si>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</si>
  <si>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</si>
  <si>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</si>
  <si>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</si>
  <si>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</si>
  <si>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</si>
  <si>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</si>
  <si>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</si>
  <si>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</si>
  <si>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</si>
  <si>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</si>
  <si>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</si>
  <si>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</si>
  <si>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</si>
  <si>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</si>
  <si>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</si>
  <si>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</si>
  <si>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</si>
  <si>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</si>
  <si>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</si>
  <si>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</si>
  <si>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</si>
  <si>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</si>
  <si>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</si>
  <si>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</si>
  <si>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</si>
  <si>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</si>
  <si>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</si>
  <si>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</si>
  <si>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</si>
  <si>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</si>
  <si>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</si>
  <si>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</si>
  <si>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</si>
  <si>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</si>
  <si>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</si>
  <si>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</si>
  <si>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</si>
  <si>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</si>
  <si>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</si>
  <si>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</si>
  <si>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</si>
  <si>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</si>
  <si>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</si>
  <si>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</si>
  <si>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</si>
  <si>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</si>
  <si>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</si>
  <si>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</si>
  <si>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</si>
  <si>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</si>
  <si>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</si>
  <si>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</si>
  <si>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</si>
  <si>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</si>
  <si>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</si>
  <si>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</si>
  <si>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</si>
  <si>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</si>
  <si>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</si>
  <si>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</si>
  <si>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</si>
  <si>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</si>
  <si>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</si>
  <si>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</si>
  <si>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</si>
  <si>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</si>
  <si>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</si>
  <si>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</si>
  <si>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</si>
  <si>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</si>
  <si>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</si>
  <si>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</si>
  <si>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</si>
  <si>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</si>
  <si>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</si>
  <si>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</si>
  <si>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</si>
  <si>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</si>
  <si>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</si>
  <si>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</si>
  <si>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</si>
  <si>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</si>
  <si>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</si>
  <si>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</si>
  <si>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</si>
  <si>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</si>
  <si>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</si>
  <si>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</si>
  <si>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</si>
  <si>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</si>
  <si>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</si>
  <si>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</si>
  <si>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</si>
  <si>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</si>
  <si>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</si>
  <si>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</si>
  <si>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</si>
  <si>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</si>
  <si>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</si>
  <si>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</si>
  <si>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</si>
  <si>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</si>
  <si>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</si>
  <si>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</si>
  <si>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</si>
  <si>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</si>
  <si>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</si>
  <si>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</si>
  <si>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</si>
  <si>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</si>
  <si>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</si>
  <si>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</si>
  <si>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</si>
  <si>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</si>
  <si>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</si>
  <si>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</si>
  <si>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</si>
  <si>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</si>
  <si>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</si>
  <si>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</si>
  <si>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</si>
  <si>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</si>
  <si>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</si>
  <si>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</si>
  <si>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</si>
  <si>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</si>
  <si>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</si>
  <si>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</si>
  <si>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</si>
  <si>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</si>
  <si>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</si>
  <si>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</si>
  <si>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</si>
  <si>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</si>
  <si>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</si>
  <si>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</si>
  <si>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</si>
  <si>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</si>
  <si>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</si>
  <si>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</si>
  <si>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</si>
  <si>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</si>
  <si>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</si>
  <si>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</si>
  <si>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</si>
  <si>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</si>
  <si>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</si>
  <si>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</si>
  <si>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</si>
  <si>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</si>
  <si>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</si>
  <si>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</si>
  <si>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</si>
  <si>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</si>
  <si>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</si>
  <si>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</si>
  <si>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</si>
  <si>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</si>
  <si>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</si>
  <si>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</si>
  <si>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</si>
  <si>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</si>
  <si>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</si>
  <si>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</si>
  <si>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</si>
  <si>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</si>
  <si>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</si>
  <si>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</si>
  <si>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</si>
  <si>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</si>
  <si>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</si>
  <si>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</si>
  <si>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</si>
  <si>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</si>
  <si>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</si>
  <si>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</si>
  <si>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</si>
  <si>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</si>
  <si>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</si>
  <si>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</si>
  <si>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</si>
  <si>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</si>
  <si>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</si>
  <si>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</si>
  <si>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</si>
  <si>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</si>
  <si>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</si>
  <si>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</si>
  <si>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</si>
  <si>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</si>
  <si>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</si>
  <si>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</si>
  <si>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</si>
  <si>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</si>
  <si>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</si>
  <si>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</si>
  <si>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</si>
  <si>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</si>
  <si>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</si>
  <si>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</si>
  <si>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</si>
  <si>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</si>
  <si>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</si>
  <si>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</si>
  <si>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</si>
  <si>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</si>
  <si>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</si>
  <si>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</si>
  <si>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</si>
  <si>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</si>
  <si>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</si>
  <si>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</si>
  <si>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</si>
  <si>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</si>
  <si>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</si>
  <si>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</si>
  <si>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</si>
  <si>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</si>
  <si>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</si>
  <si>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</si>
  <si>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</si>
  <si>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</si>
  <si>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</si>
  <si>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</si>
  <si>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</si>
  <si>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</si>
  <si>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</si>
  <si>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</si>
  <si>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</si>
  <si>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</si>
  <si>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</si>
  <si>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</si>
  <si>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</si>
  <si>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</si>
  <si>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</si>
  <si>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</si>
  <si>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</si>
  <si>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</si>
  <si>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</si>
  <si>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</si>
  <si>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</si>
  <si>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</si>
  <si>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</si>
  <si>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</si>
  <si>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</si>
  <si>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</si>
  <si>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</si>
  <si>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</si>
  <si>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</si>
  <si>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</si>
  <si>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</si>
  <si>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</si>
  <si>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</si>
  <si>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</si>
  <si>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</si>
  <si>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</si>
  <si>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</si>
  <si>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</si>
  <si>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</si>
  <si>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</si>
  <si>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</si>
  <si>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</si>
  <si>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</si>
  <si>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</si>
  <si>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</si>
  <si>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</si>
  <si>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</si>
  <si>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</si>
  <si>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</si>
  <si>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</si>
  <si>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</si>
  <si>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</si>
  <si>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</si>
  <si>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</si>
  <si>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</si>
  <si>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</si>
  <si>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</si>
  <si>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</si>
  <si>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</si>
  <si>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</si>
  <si>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</si>
  <si>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</si>
  <si>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</si>
  <si>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</si>
  <si>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</si>
  <si>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</si>
  <si>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</si>
  <si>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</si>
  <si>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</si>
  <si>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</si>
  <si>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</si>
  <si>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</si>
  <si>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</si>
  <si>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</si>
  <si>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</si>
  <si>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</si>
  <si>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</si>
  <si>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</si>
  <si>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</si>
  <si>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</si>
  <si>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</si>
  <si>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</si>
  <si>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</si>
  <si>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</si>
  <si>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</si>
  <si>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</si>
  <si>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</si>
  <si>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</si>
  <si>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</si>
  <si>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</si>
  <si>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</si>
  <si>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</si>
  <si>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</si>
  <si>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</si>
  <si>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</si>
  <si>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</si>
  <si>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</si>
  <si>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</si>
  <si>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</si>
  <si>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</si>
  <si>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</si>
  <si>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</si>
  <si>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</si>
  <si>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</si>
  <si>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</si>
  <si>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</si>
  <si>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</si>
  <si>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</si>
  <si>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</si>
  <si>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</si>
  <si>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</si>
  <si>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</si>
  <si>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</si>
  <si>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</si>
  <si>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</si>
  <si>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</si>
  <si>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</si>
  <si>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</si>
  <si>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</si>
  <si>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</si>
  <si>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</si>
  <si>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</si>
  <si>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</si>
  <si>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</si>
  <si>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</si>
  <si>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</si>
  <si>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</si>
  <si>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</si>
  <si>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</si>
  <si>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</si>
  <si>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</si>
  <si>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</si>
  <si>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</si>
  <si>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</si>
  <si>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</si>
  <si>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</si>
  <si>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</si>
  <si>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</si>
  <si>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</si>
  <si>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</si>
  <si>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</si>
  <si>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</si>
  <si>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</si>
  <si>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</si>
  <si>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</si>
  <si>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</si>
  <si>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</si>
  <si>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</si>
  <si>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</si>
  <si>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</si>
  <si>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</si>
  <si>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</si>
  <si>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</si>
  <si>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</si>
  <si>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</si>
  <si>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</si>
  <si>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</si>
  <si>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</si>
  <si>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</si>
  <si>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</si>
  <si>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</si>
  <si>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</si>
  <si>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</si>
  <si>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</si>
  <si>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</si>
  <si>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</si>
  <si>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</si>
  <si>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</si>
  <si>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</si>
  <si>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</si>
  <si>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</si>
  <si>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</si>
  <si>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</si>
  <si>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</si>
  <si>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</si>
  <si>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</si>
  <si>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</si>
  <si>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</si>
  <si>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</si>
  <si>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</si>
  <si>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</si>
  <si>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</si>
  <si>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</si>
  <si>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</si>
  <si>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</si>
  <si>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</si>
  <si>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</si>
  <si>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</si>
  <si>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</si>
  <si>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</si>
  <si>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</si>
  <si>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</si>
  <si>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</si>
  <si>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</si>
  <si>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</si>
  <si>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</si>
  <si>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</si>
  <si>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</si>
  <si>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</si>
  <si>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</si>
  <si>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</si>
  <si>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</si>
  <si>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</si>
  <si>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</si>
  <si>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</si>
  <si>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</si>
  <si>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</si>
  <si>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</si>
  <si>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</si>
  <si>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</si>
  <si>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</si>
  <si>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</si>
  <si>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</si>
  <si>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</si>
  <si>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</si>
  <si>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</si>
  <si>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</si>
  <si>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</si>
  <si>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</si>
  <si>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</si>
  <si>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</si>
  <si>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</si>
  <si>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</si>
  <si>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</si>
  <si>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</si>
  <si>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</si>
  <si>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</si>
  <si>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</si>
  <si>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</si>
  <si>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</si>
  <si>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</si>
  <si>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</si>
  <si>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</si>
  <si>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</si>
  <si>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</si>
  <si>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</si>
  <si>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</si>
  <si>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</si>
  <si>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</si>
  <si>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</si>
  <si>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</si>
  <si>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</si>
  <si>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</si>
  <si>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</si>
  <si>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</si>
  <si>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</si>
  <si>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</si>
  <si>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</si>
  <si>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</si>
  <si>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</si>
  <si>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</si>
  <si>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</si>
  <si>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</si>
  <si>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</si>
  <si>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</si>
  <si>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</si>
  <si>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</si>
  <si>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</si>
  <si>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</si>
  <si>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</si>
  <si>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</si>
  <si>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</si>
  <si>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</si>
  <si>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</si>
  <si>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</si>
  <si>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</si>
  <si>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</si>
  <si>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</si>
  <si>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</si>
  <si>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</si>
  <si>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</si>
  <si>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</si>
  <si>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</si>
  <si>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</si>
  <si>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</si>
  <si>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</si>
  <si>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</si>
  <si>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</si>
  <si>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</si>
  <si>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</si>
  <si>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</si>
  <si>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</si>
  <si>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</si>
  <si>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</si>
  <si>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</si>
  <si>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</si>
  <si>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</si>
  <si>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</si>
  <si>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</si>
  <si>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</si>
  <si>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</si>
  <si>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</si>
  <si>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</si>
  <si>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</si>
  <si>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</si>
  <si>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</si>
  <si>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</si>
  <si>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</si>
  <si>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</si>
  <si>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</si>
  <si>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</si>
  <si>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</si>
  <si>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</si>
  <si>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</si>
  <si>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</si>
  <si>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</si>
  <si>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</si>
  <si>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</si>
  <si>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</si>
  <si>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</si>
  <si>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</si>
  <si>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</si>
  <si>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</si>
  <si>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</si>
  <si>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</si>
  <si>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</si>
  <si>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</si>
  <si>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</si>
  <si>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</si>
  <si>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</si>
  <si>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</si>
  <si>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</si>
  <si>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</si>
  <si>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</si>
  <si>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</si>
  <si>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</si>
  <si>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</si>
  <si>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</si>
  <si>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</si>
  <si>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</si>
  <si>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</si>
  <si>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</si>
  <si>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</si>
  <si>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</si>
  <si>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</si>
  <si>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</si>
  <si>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</si>
  <si>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</si>
  <si>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</si>
  <si>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</si>
  <si>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</si>
  <si>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</si>
  <si>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</si>
  <si>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</si>
  <si>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</si>
  <si>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</si>
  <si>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</si>
  <si>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</si>
  <si>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</si>
  <si>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</si>
  <si>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</si>
  <si>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</si>
  <si>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</si>
  <si>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</si>
  <si>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</si>
  <si>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</si>
  <si>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</si>
  <si>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</si>
  <si>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</si>
  <si>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</si>
  <si>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</si>
  <si>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</si>
  <si>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</si>
  <si>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</si>
  <si>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</si>
  <si>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</si>
  <si>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</si>
  <si>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</si>
  <si>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</si>
  <si>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</si>
  <si>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</si>
  <si>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</si>
  <si>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</si>
  <si>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</si>
  <si>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</si>
  <si>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</si>
  <si>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</si>
  <si>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</si>
  <si>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</si>
  <si>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</si>
  <si>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</si>
  <si>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</si>
  <si>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</si>
  <si>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</si>
  <si>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</si>
  <si>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</si>
  <si>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</si>
  <si>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</si>
  <si>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</si>
  <si>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</si>
  <si>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</si>
  <si>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</si>
  <si>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</si>
  <si>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</si>
  <si>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</si>
  <si>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</si>
  <si>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</si>
  <si>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</si>
  <si>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</si>
  <si>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</si>
  <si>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</si>
  <si>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</si>
  <si>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</si>
  <si>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</si>
  <si>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</si>
  <si>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</si>
  <si>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</si>
  <si>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</si>
  <si>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</si>
  <si>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</si>
  <si>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</si>
  <si>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</si>
  <si>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</si>
  <si>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</si>
  <si>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</si>
  <si>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</si>
  <si>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</si>
  <si>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</si>
  <si>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</si>
  <si>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</si>
  <si>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</si>
  <si>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</si>
  <si>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</si>
  <si>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</si>
  <si>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</si>
  <si>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</si>
  <si>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</si>
  <si>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</si>
  <si>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</si>
  <si>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</si>
  <si>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</si>
  <si>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</si>
  <si>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</si>
  <si>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</si>
  <si>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</si>
  <si>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</si>
  <si>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</si>
  <si>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</si>
  <si>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</si>
  <si>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</si>
  <si>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</si>
  <si>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</si>
  <si>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</si>
  <si>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</si>
  <si>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</si>
  <si>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</si>
  <si>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</si>
  <si>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</si>
  <si>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</si>
  <si>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</si>
  <si>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</si>
  <si>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</si>
  <si>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</si>
  <si>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</si>
  <si>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</si>
  <si>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</si>
  <si>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</si>
  <si>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</si>
  <si>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</si>
  <si>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</si>
  <si>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</si>
  <si>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</si>
  <si>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</si>
  <si>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</si>
  <si>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</si>
  <si>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</si>
  <si>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</si>
  <si>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</si>
  <si>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</si>
  <si>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</si>
  <si>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</si>
  <si>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</si>
  <si>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</si>
  <si>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</si>
  <si>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</si>
  <si>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</si>
  <si>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</si>
  <si>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</si>
  <si>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</si>
  <si>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</si>
  <si>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</si>
  <si>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</si>
  <si>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</si>
  <si>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</si>
  <si>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</si>
  <si>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</si>
  <si>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</si>
  <si>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</si>
  <si>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</si>
  <si>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</si>
  <si>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</si>
  <si>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</si>
  <si>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</si>
  <si>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</si>
  <si>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</si>
  <si>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</si>
  <si>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</si>
  <si>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</si>
  <si>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</si>
  <si>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</si>
  <si>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</si>
  <si>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</si>
  <si>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</si>
  <si>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</si>
  <si>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</si>
  <si>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</si>
  <si>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</si>
  <si>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</si>
  <si>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</si>
  <si>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</si>
  <si>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</si>
  <si>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</si>
  <si>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</si>
  <si>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</si>
  <si>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</si>
  <si>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</si>
  <si>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</si>
  <si>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</si>
  <si>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</si>
  <si>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</si>
  <si>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</si>
  <si>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</si>
  <si>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</si>
  <si>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</si>
  <si>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</si>
  <si>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</si>
  <si>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</si>
  <si>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</si>
  <si>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</si>
  <si>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</si>
  <si>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</si>
  <si>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</si>
  <si>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</si>
  <si>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</si>
  <si>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</si>
  <si>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</si>
  <si>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</si>
  <si>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</si>
  <si>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</si>
  <si>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</si>
  <si>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</si>
  <si>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</si>
  <si>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</si>
  <si>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</si>
  <si>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</si>
  <si>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</si>
  <si>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</si>
  <si>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</si>
  <si>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</si>
  <si>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</si>
  <si>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</si>
  <si>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</si>
  <si>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</si>
  <si>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</si>
  <si>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</si>
  <si>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</si>
  <si>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</si>
  <si>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</si>
  <si>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</si>
  <si>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</si>
  <si>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</si>
  <si>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</si>
  <si>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</si>
  <si>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</si>
  <si>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</si>
  <si>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</si>
  <si>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</si>
  <si>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</si>
  <si>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</si>
  <si>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</si>
  <si>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</si>
  <si>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</si>
  <si>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</si>
  <si>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</si>
  <si>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</si>
  <si>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</si>
  <si>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</si>
  <si>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</si>
  <si>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</si>
  <si>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</si>
  <si>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</si>
  <si>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</si>
  <si>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</si>
  <si>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</si>
  <si>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</si>
  <si>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</si>
  <si>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</si>
  <si>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</si>
  <si>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</si>
  <si>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</si>
  <si>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</si>
  <si>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</si>
  <si>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</si>
  <si>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</si>
  <si>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</si>
  <si>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</si>
  <si>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</si>
  <si>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</si>
  <si>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</si>
  <si>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</si>
  <si>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</si>
  <si>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</si>
  <si>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</si>
  <si>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</si>
  <si>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</si>
  <si>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</si>
  <si>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</si>
  <si>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</si>
  <si>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</si>
  <si>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</si>
  <si>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</si>
  <si>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</si>
  <si>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</si>
  <si>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</si>
  <si>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</si>
  <si>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</si>
  <si>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</si>
  <si>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</si>
  <si>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</si>
  <si>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</si>
  <si>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</si>
  <si>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</si>
  <si>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</si>
  <si>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</si>
  <si>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</si>
  <si>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</si>
  <si>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</si>
  <si>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</si>
  <si>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</si>
  <si>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</si>
  <si>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</si>
  <si>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</si>
  <si>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</si>
  <si>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</si>
  <si>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</si>
  <si>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</si>
  <si>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</si>
  <si>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</si>
  <si>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</si>
  <si>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</si>
  <si>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</si>
  <si>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</si>
  <si>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</si>
  <si>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</si>
  <si>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</si>
  <si>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</si>
  <si>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</si>
  <si>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</si>
  <si>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</si>
  <si>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</si>
  <si>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</si>
  <si>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</si>
  <si>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</si>
  <si>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</si>
  <si>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</si>
  <si>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</si>
  <si>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</si>
  <si>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</si>
  <si>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</si>
  <si>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</si>
  <si>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</si>
  <si>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</si>
  <si>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</si>
  <si>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</si>
  <si>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</si>
  <si>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</si>
  <si>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</si>
  <si>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</si>
  <si>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</si>
  <si>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</si>
  <si>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</si>
  <si>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</si>
  <si>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</si>
  <si>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</si>
  <si>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</si>
  <si>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</si>
  <si>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</si>
  <si>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</si>
  <si>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</si>
  <si>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</si>
  <si>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</si>
  <si>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</si>
  <si>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</si>
  <si>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</si>
  <si>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</si>
  <si>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</si>
  <si>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</si>
  <si>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</si>
  <si>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</si>
  <si>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</si>
  <si>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</si>
  <si>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</si>
  <si>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</si>
  <si>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</si>
  <si>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</si>
  <si>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</si>
  <si>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</si>
  <si>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</si>
  <si>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</si>
  <si>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</si>
  <si>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</si>
  <si>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</si>
  <si>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</si>
  <si>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</si>
  <si>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</si>
  <si>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</si>
  <si>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</si>
  <si>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</si>
  <si>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</si>
  <si>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</si>
  <si>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</si>
  <si>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</si>
  <si>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</si>
  <si>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</si>
  <si>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</si>
  <si>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</si>
  <si>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</si>
  <si>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</si>
  <si>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</si>
  <si>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</si>
  <si>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</si>
  <si>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</si>
  <si>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</si>
  <si>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</si>
  <si>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</si>
  <si>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</si>
  <si>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</si>
  <si>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</si>
  <si>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</si>
  <si>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</si>
  <si>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</si>
  <si>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</si>
  <si>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</si>
  <si>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</si>
  <si>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</si>
  <si>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</si>
  <si>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</si>
  <si>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</si>
  <si>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</si>
  <si>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</si>
  <si>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</si>
  <si>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</si>
  <si>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</si>
  <si>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</si>
  <si>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</si>
  <si>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</si>
  <si>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</si>
  <si>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</si>
  <si>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</si>
  <si>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</si>
  <si>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</si>
  <si>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</si>
  <si>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</si>
  <si>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</si>
  <si>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</si>
  <si>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</si>
  <si>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</si>
  <si>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</si>
  <si>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</si>
  <si>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</si>
  <si>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</si>
  <si>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</si>
  <si>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</si>
  <si>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</si>
  <si>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</si>
  <si>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</si>
  <si>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</si>
  <si>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</si>
  <si>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</si>
  <si>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</si>
  <si>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</si>
  <si>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</si>
  <si>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</si>
  <si>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</si>
  <si>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</si>
  <si>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</si>
  <si>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</si>
  <si>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</si>
  <si>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</si>
  <si>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</si>
  <si>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</si>
  <si>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</si>
  <si>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</si>
  <si>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</si>
  <si>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</si>
  <si>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</si>
  <si>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</si>
  <si>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</si>
  <si>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</si>
  <si>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</si>
  <si>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</si>
  <si>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</si>
  <si>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</si>
  <si>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</si>
  <si>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</si>
  <si>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</si>
  <si>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</si>
  <si>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</si>
  <si>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</si>
  <si>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</si>
  <si>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</si>
  <si>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</si>
  <si>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</si>
  <si>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</si>
  <si>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</si>
  <si>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</si>
  <si>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</si>
  <si>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</si>
  <si>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</si>
  <si>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</si>
  <si>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</si>
  <si>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</si>
  <si>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</si>
  <si>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</si>
  <si>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</si>
  <si>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</si>
  <si>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</si>
  <si>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</si>
  <si>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</si>
  <si>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</si>
  <si>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</si>
  <si>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</si>
  <si>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</si>
  <si>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</si>
  <si>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</si>
  <si>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</si>
  <si>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</si>
  <si>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</si>
  <si>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</si>
  <si>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</si>
  <si>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</si>
  <si>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</si>
  <si>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</si>
  <si>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</si>
  <si>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</si>
  <si>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</si>
  <si>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</si>
  <si>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</si>
  <si>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</si>
  <si>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</si>
  <si>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</si>
  <si>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</si>
  <si>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</si>
  <si>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</si>
  <si>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</si>
  <si>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</si>
  <si>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</si>
  <si>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</si>
  <si>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</si>
  <si>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</si>
  <si>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</si>
  <si>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</si>
  <si>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</si>
  <si>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</si>
  <si>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</si>
  <si>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</si>
  <si>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</si>
  <si>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</si>
  <si>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</si>
  <si>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</si>
  <si>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</si>
  <si>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</si>
  <si>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</si>
  <si>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</si>
  <si>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</si>
  <si>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</si>
  <si>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</si>
  <si>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</si>
  <si>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</si>
  <si>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</si>
  <si>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</si>
  <si>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</si>
  <si>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</si>
  <si>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</si>
  <si>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</si>
  <si>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</si>
  <si>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</si>
  <si>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</si>
  <si>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</si>
  <si>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</si>
  <si>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</si>
  <si>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</si>
  <si>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</si>
  <si>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</si>
  <si>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</si>
  <si>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</si>
  <si>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</si>
  <si>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</si>
  <si>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</si>
  <si>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</si>
  <si>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</si>
  <si>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</si>
  <si>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</si>
  <si>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</si>
  <si>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</si>
  <si>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</si>
  <si>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</si>
  <si>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</si>
  <si>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</si>
  <si>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</si>
  <si>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</si>
  <si>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</si>
  <si>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</si>
  <si>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</si>
  <si>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</si>
  <si>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</si>
  <si>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</si>
  <si>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</si>
  <si>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</si>
  <si>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</si>
  <si>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</si>
  <si>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</si>
  <si>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</si>
  <si>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</si>
  <si>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</si>
  <si>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</si>
  <si>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</si>
  <si>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</si>
  <si>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</si>
  <si>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</si>
  <si>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</si>
  <si>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</si>
  <si>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</si>
  <si>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</si>
  <si>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</si>
  <si>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</si>
  <si>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</si>
  <si>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</si>
  <si>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</si>
  <si>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</si>
  <si>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</si>
  <si>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</si>
  <si>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</si>
  <si>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</si>
  <si>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</si>
  <si>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</si>
  <si>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</si>
  <si>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</si>
  <si>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</si>
  <si>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</si>
  <si>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</si>
  <si>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</si>
  <si>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</si>
  <si>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</si>
  <si>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</si>
  <si>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</si>
  <si>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</si>
  <si>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</si>
  <si>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</si>
  <si>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</si>
  <si>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</si>
  <si>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</si>
  <si>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</si>
  <si>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</si>
  <si>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</si>
  <si>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</si>
  <si>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</si>
  <si>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</si>
  <si>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</si>
  <si>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</si>
  <si>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</si>
  <si>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</si>
  <si>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</si>
  <si>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</si>
  <si>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</si>
  <si>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</si>
  <si>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</si>
  <si>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</si>
  <si>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</si>
  <si>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</si>
  <si>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</si>
  <si>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</si>
  <si>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</si>
  <si>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</si>
  <si>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</si>
  <si>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</si>
  <si>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</si>
  <si>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</si>
  <si>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</si>
  <si>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</si>
  <si>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</si>
  <si>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</si>
  <si>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</si>
  <si>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</si>
  <si>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</si>
  <si>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</si>
  <si>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</si>
  <si>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</si>
  <si>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</si>
  <si>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</si>
  <si>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</si>
  <si>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</si>
  <si>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</si>
  <si>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</si>
  <si>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</si>
  <si>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</si>
  <si>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</si>
  <si>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</si>
  <si>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</si>
  <si>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</si>
  <si>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</si>
  <si>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</si>
  <si>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</si>
  <si>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</si>
  <si>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</si>
  <si>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</si>
  <si>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</si>
  <si>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</si>
  <si>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</si>
  <si>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</si>
  <si>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</si>
  <si>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</si>
  <si>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</si>
  <si>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</si>
  <si>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</si>
  <si>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</si>
  <si>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</si>
  <si>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</si>
  <si>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</si>
  <si>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</si>
  <si>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</si>
  <si>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</si>
  <si>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</si>
  <si>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</si>
  <si>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</si>
  <si>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</si>
  <si>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</si>
  <si>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</si>
  <si>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</si>
  <si>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</si>
  <si>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</si>
  <si>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</si>
  <si>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</si>
  <si>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</si>
  <si>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</si>
  <si>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</si>
  <si>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</si>
  <si>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</si>
  <si>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</si>
  <si>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</si>
  <si>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</si>
  <si>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</si>
  <si>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</si>
  <si>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</si>
  <si>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</si>
  <si>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</si>
  <si>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</si>
  <si>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</si>
  <si>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</si>
  <si>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</si>
  <si>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</si>
  <si>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</si>
  <si>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</si>
  <si>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</si>
  <si>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</si>
  <si>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</si>
  <si>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</si>
  <si>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</si>
  <si>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</si>
  <si>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</si>
  <si>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</si>
  <si>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</si>
  <si>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</si>
  <si>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</si>
  <si>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</si>
  <si>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</si>
  <si>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</si>
  <si>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</si>
  <si>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</si>
  <si>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</si>
  <si>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</si>
  <si>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</si>
  <si>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</si>
  <si>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</si>
  <si>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</si>
  <si>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</si>
  <si>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</si>
  <si>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</si>
  <si>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</si>
  <si>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</si>
  <si>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</si>
  <si>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</si>
  <si>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</si>
  <si>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</si>
  <si>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</si>
  <si>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</si>
  <si>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</si>
  <si>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</si>
  <si>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</si>
  <si>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</si>
  <si>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</si>
  <si>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</si>
  <si>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</si>
  <si>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</si>
  <si>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</si>
  <si>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</si>
  <si>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</si>
  <si>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</si>
  <si>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</si>
  <si>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</si>
  <si>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</si>
  <si>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</si>
  <si>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</si>
  <si>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</si>
  <si>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</si>
  <si>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</si>
  <si>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</si>
  <si>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</si>
  <si>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</si>
  <si>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</si>
  <si>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</si>
  <si>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</si>
  <si>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</si>
  <si>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</si>
  <si>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</si>
  <si>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</si>
  <si>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</si>
  <si>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</si>
  <si>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</si>
  <si>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</si>
  <si>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</si>
  <si>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</si>
  <si>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</si>
  <si>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</si>
  <si>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</si>
  <si>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</si>
  <si>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</si>
  <si>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</si>
  <si>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</si>
  <si>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</si>
  <si>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</si>
  <si>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</si>
  <si>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</si>
  <si>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</si>
  <si>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</si>
  <si>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</si>
  <si>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</si>
  <si>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</si>
  <si>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</si>
  <si>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</si>
  <si>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</si>
  <si>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</si>
  <si>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</si>
  <si>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</si>
  <si>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</si>
  <si>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</si>
  <si>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</si>
  <si>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</si>
  <si>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</si>
  <si>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</si>
  <si>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</si>
  <si>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</si>
  <si>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</si>
  <si>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</si>
  <si>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</si>
  <si>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</si>
  <si>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</si>
  <si>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</si>
  <si>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</si>
  <si>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</si>
  <si>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</si>
  <si>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</si>
  <si>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</si>
  <si>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</si>
  <si>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</si>
  <si>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</si>
  <si>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</si>
  <si>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</si>
  <si>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</si>
  <si>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</si>
  <si>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</si>
  <si>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</si>
  <si>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</si>
  <si>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</si>
  <si>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</si>
  <si>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</si>
  <si>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</si>
  <si>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</si>
  <si>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</si>
  <si>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</si>
  <si>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</si>
  <si>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</si>
  <si>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</si>
  <si>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</si>
  <si>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</si>
  <si>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</si>
  <si>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</si>
  <si>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</si>
  <si>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</si>
  <si>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</si>
  <si>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</si>
  <si>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</si>
  <si>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</si>
  <si>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</si>
  <si>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</si>
  <si>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</si>
  <si>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</si>
  <si>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</si>
  <si>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</si>
  <si>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</si>
  <si>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</si>
  <si>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</si>
  <si>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</si>
  <si>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</si>
  <si>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</si>
  <si>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</si>
  <si>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</si>
  <si>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</si>
  <si>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</si>
  <si>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</si>
  <si>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</si>
  <si>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</si>
  <si>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</si>
  <si>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</si>
  <si>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</si>
  <si>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</si>
  <si>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</si>
  <si>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</si>
  <si>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</si>
  <si>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</si>
  <si>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</si>
  <si>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</si>
  <si>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</si>
  <si>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</si>
  <si>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</si>
  <si>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</si>
  <si>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</si>
  <si>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</si>
  <si>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</si>
  <si>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</si>
  <si>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</si>
  <si>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</si>
  <si>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</si>
  <si>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</si>
  <si>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</si>
  <si>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</si>
  <si>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</si>
  <si>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</si>
  <si>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</si>
  <si>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</si>
  <si>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</si>
  <si>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</si>
  <si>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</si>
  <si>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</si>
  <si>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</si>
  <si>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</si>
  <si>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</si>
  <si>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</si>
  <si>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</si>
  <si>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</si>
  <si>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</si>
  <si>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</si>
  <si>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</si>
  <si>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</si>
  <si>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</si>
  <si>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</si>
  <si>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</si>
  <si>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</si>
  <si>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</si>
  <si>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</si>
  <si>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</si>
  <si>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</si>
  <si>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</si>
  <si>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</si>
  <si>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</si>
  <si>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</si>
  <si>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</si>
  <si>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</si>
  <si>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</si>
  <si>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</si>
  <si>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</si>
  <si>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</si>
  <si>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</si>
  <si>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</si>
  <si>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</si>
  <si>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</si>
  <si>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</si>
  <si>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</si>
  <si>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</si>
  <si>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</si>
  <si>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</si>
  <si>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</si>
  <si>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</si>
  <si>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</si>
  <si>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</si>
  <si>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</si>
  <si>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</si>
  <si>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</si>
  <si>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</si>
  <si>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</si>
  <si>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</si>
  <si>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</si>
  <si>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</si>
  <si>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</si>
  <si>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</si>
  <si>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</si>
  <si>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</si>
  <si>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</si>
  <si>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</si>
  <si>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</si>
  <si>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</si>
  <si>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</si>
  <si>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</si>
  <si>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</si>
  <si>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</si>
  <si>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</si>
  <si>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</si>
  <si>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</si>
  <si>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</si>
  <si>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</si>
  <si>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</si>
  <si>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</si>
  <si>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</si>
  <si>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</si>
  <si>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</si>
  <si>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</si>
  <si>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</si>
  <si>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</si>
  <si>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</si>
  <si>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</si>
  <si>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</si>
  <si>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</si>
  <si>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</si>
  <si>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</si>
  <si>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</si>
  <si>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</si>
  <si>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</si>
  <si>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</si>
  <si>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</si>
  <si>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</si>
  <si>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</si>
  <si>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</si>
  <si>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</si>
  <si>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</si>
  <si>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</si>
  <si>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</si>
  <si>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</si>
  <si>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</si>
  <si>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</si>
  <si>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</si>
  <si>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</si>
  <si>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</si>
  <si>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</si>
  <si>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</si>
  <si>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</si>
  <si>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</si>
  <si>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</si>
  <si>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</si>
  <si>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</si>
  <si>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</si>
  <si>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</si>
  <si>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</si>
  <si>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</si>
  <si>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</si>
  <si>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</si>
  <si>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</si>
  <si>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</si>
  <si>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</si>
  <si>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</si>
  <si>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</si>
  <si>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</si>
  <si>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</si>
  <si>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</si>
  <si>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</si>
  <si>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</si>
  <si>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</si>
  <si>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</si>
  <si>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</si>
  <si>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</si>
  <si>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</si>
  <si>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</si>
  <si>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</si>
  <si>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</si>
  <si>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</si>
  <si>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</si>
  <si>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</si>
  <si>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</si>
  <si>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</si>
  <si>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</si>
  <si>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</si>
  <si>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</si>
  <si>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</si>
  <si>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</si>
  <si>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</si>
  <si>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</si>
  <si>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</si>
  <si>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</si>
  <si>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</si>
  <si>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</si>
  <si>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</si>
  <si>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</si>
  <si>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</si>
  <si>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</si>
  <si>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</si>
  <si>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</si>
  <si>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</si>
  <si>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</si>
  <si>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</si>
  <si>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</si>
  <si>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</si>
  <si>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</si>
  <si>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</si>
  <si>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</si>
  <si>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</si>
  <si>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</si>
  <si>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</si>
  <si>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</si>
  <si>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</si>
  <si>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</si>
  <si>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</si>
  <si>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</si>
  <si>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</si>
  <si>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</si>
  <si>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</si>
  <si>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</si>
  <si>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</si>
  <si>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</si>
  <si>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</si>
  <si>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</si>
  <si>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</si>
  <si>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</si>
  <si>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</si>
  <si>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</si>
  <si>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</si>
  <si>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</si>
  <si>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</si>
  <si>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</si>
  <si>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</si>
  <si>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</si>
  <si>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</si>
  <si>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</si>
  <si>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</si>
  <si>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</si>
  <si>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</si>
  <si>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</si>
  <si>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</si>
  <si>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</si>
  <si>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</si>
  <si>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</si>
  <si>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</si>
  <si>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</si>
  <si>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</si>
  <si>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</si>
  <si>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</si>
  <si>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</si>
  <si>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</si>
  <si>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</si>
  <si>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</si>
  <si>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</si>
  <si>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</si>
  <si>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</si>
  <si>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</si>
  <si>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</si>
  <si>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</si>
  <si>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</si>
  <si>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</si>
  <si>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</si>
  <si>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</si>
  <si>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</si>
  <si>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</si>
  <si>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</si>
  <si>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</si>
  <si>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</si>
  <si>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</si>
  <si>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</si>
  <si>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</si>
  <si>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</si>
  <si>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</si>
  <si>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</si>
  <si>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</si>
  <si>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</si>
  <si>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</si>
  <si>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</si>
  <si>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</si>
  <si>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</si>
  <si>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</si>
  <si>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</si>
  <si>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</si>
  <si>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</si>
  <si>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</si>
  <si>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</si>
  <si>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</si>
  <si>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</si>
  <si>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</si>
  <si>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</si>
  <si>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</si>
  <si>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</si>
  <si>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</si>
  <si>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</si>
  <si>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</si>
  <si>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</si>
  <si>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</si>
  <si>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</si>
  <si>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</si>
  <si>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</si>
  <si>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</si>
  <si>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</si>
  <si>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</si>
  <si>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</si>
  <si>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</si>
  <si>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</si>
  <si>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</si>
  <si>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</si>
  <si>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</si>
  <si>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</si>
  <si>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</si>
  <si>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</si>
  <si>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</si>
  <si>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</si>
  <si>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</si>
  <si>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</si>
  <si>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</si>
  <si>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</si>
  <si>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</si>
  <si>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</si>
  <si>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</si>
  <si>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</si>
  <si>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</si>
  <si>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</si>
  <si>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</si>
  <si>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</si>
  <si>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</si>
  <si>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</si>
  <si>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</si>
  <si>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</si>
  <si>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</si>
  <si>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</si>
  <si>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</si>
  <si>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</si>
  <si>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</si>
  <si>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</si>
  <si>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</si>
  <si>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</si>
  <si>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</si>
  <si>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</si>
  <si>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</si>
  <si>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</si>
  <si>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</si>
  <si>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</si>
  <si>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</si>
  <si>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</si>
  <si>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</si>
  <si>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</si>
  <si>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</si>
  <si>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</si>
  <si>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</si>
  <si>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</si>
  <si>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</si>
  <si>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</si>
  <si>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</si>
  <si>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</si>
  <si>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</si>
  <si>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</si>
  <si>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</si>
  <si>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</si>
  <si>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</si>
  <si>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</si>
  <si>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</si>
  <si>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</si>
  <si>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</si>
  <si>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</si>
  <si>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</si>
  <si>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</si>
  <si>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</si>
  <si>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</si>
  <si>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</si>
  <si>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</si>
  <si>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</si>
  <si>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</si>
  <si>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</si>
  <si>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</si>
  <si>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</si>
  <si>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</si>
  <si>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</si>
  <si>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</si>
  <si>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</si>
  <si>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</si>
  <si>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</si>
  <si>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</si>
  <si>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</si>
  <si>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</si>
  <si>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</si>
  <si>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</si>
  <si>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</si>
  <si>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</si>
  <si>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</si>
  <si>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</si>
  <si>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</si>
  <si>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</si>
  <si>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</si>
  <si>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</si>
  <si>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</si>
  <si>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</si>
  <si>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</si>
  <si>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</si>
  <si>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</si>
  <si>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</si>
  <si>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</si>
  <si>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</si>
  <si>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</si>
  <si>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</si>
  <si>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</si>
  <si>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</si>
  <si>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</si>
  <si>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</si>
  <si>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</si>
  <si>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</si>
  <si>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</si>
  <si>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</si>
  <si>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</si>
  <si>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</si>
  <si>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</si>
  <si>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</si>
  <si>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</si>
  <si>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</si>
  <si>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</si>
  <si>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</si>
  <si>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</si>
  <si>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</si>
  <si>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</si>
  <si>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</si>
  <si>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</si>
  <si>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</si>
  <si>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</si>
  <si>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</si>
  <si>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</si>
  <si>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</si>
  <si>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</si>
  <si>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</si>
  <si>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</si>
  <si>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</si>
  <si>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</si>
  <si>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</si>
  <si>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</si>
  <si>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</si>
  <si>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</si>
  <si>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</si>
  <si>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</si>
  <si>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</si>
  <si>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</si>
  <si>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</si>
  <si>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</si>
  <si>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</si>
  <si>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</si>
  <si>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</si>
  <si>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</si>
  <si>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</si>
  <si>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</si>
  <si>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</si>
  <si>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</si>
  <si>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</si>
  <si>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</si>
  <si>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</si>
  <si>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</si>
  <si>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</si>
  <si>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</si>
  <si>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</si>
  <si>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</si>
  <si>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</si>
  <si>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</si>
  <si>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</si>
  <si>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</si>
  <si>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</si>
  <si>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</si>
  <si>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</si>
  <si>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</si>
  <si>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</si>
  <si>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</si>
  <si>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</si>
  <si>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</si>
  <si>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</si>
  <si>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</si>
  <si>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</si>
  <si>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</si>
  <si>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</si>
  <si>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</si>
  <si>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</si>
  <si>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</si>
  <si>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</si>
  <si>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</si>
  <si>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</si>
  <si>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</si>
  <si>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</si>
  <si>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</si>
  <si>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</si>
  <si>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</si>
  <si>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</si>
  <si>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</si>
  <si>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</si>
  <si>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</si>
  <si>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</si>
  <si>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</si>
  <si>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</si>
  <si>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</si>
  <si>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</si>
  <si>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</si>
  <si>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</si>
  <si>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</si>
  <si>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</si>
  <si>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</si>
  <si>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</si>
  <si>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</si>
  <si>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</si>
  <si>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</si>
  <si>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</si>
  <si>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</si>
  <si>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</si>
  <si>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</si>
  <si>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</si>
  <si>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</si>
  <si>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</si>
  <si>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</si>
  <si>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</si>
  <si>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</si>
  <si>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</si>
  <si>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</si>
  <si>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</si>
  <si>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</si>
  <si>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</si>
  <si>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</si>
  <si>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</si>
  <si>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</si>
  <si>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</si>
  <si>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</si>
  <si>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</si>
  <si>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</si>
  <si>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</si>
  <si>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</si>
  <si>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</si>
  <si>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</si>
  <si>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</si>
  <si>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</si>
  <si>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</si>
  <si>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</si>
  <si>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</si>
  <si>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</si>
  <si>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</si>
  <si>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</si>
  <si>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</si>
  <si>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</si>
  <si>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</si>
  <si>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</si>
  <si>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</si>
  <si>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</si>
  <si>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</si>
  <si>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</si>
  <si>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</si>
  <si>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</si>
  <si>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</si>
  <si>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</si>
  <si>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</si>
  <si>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</si>
  <si>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</si>
  <si>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</si>
  <si>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</si>
  <si>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</si>
  <si>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</si>
  <si>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</si>
  <si>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</si>
  <si>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</si>
  <si>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</si>
  <si>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</si>
  <si>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</si>
  <si>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</si>
  <si>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</si>
  <si>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</si>
  <si>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</si>
  <si>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</si>
  <si>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</si>
  <si>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</si>
  <si>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</si>
  <si>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</si>
  <si>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</si>
  <si>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</si>
  <si>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</si>
  <si>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</si>
  <si>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</si>
  <si>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</si>
  <si>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</si>
  <si>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</si>
  <si>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</si>
  <si>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</si>
  <si>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</si>
  <si>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</si>
  <si>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</si>
  <si>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</si>
  <si>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</si>
  <si>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</si>
  <si>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</si>
  <si>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</si>
  <si>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</si>
  <si>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</si>
  <si>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</si>
  <si>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</si>
  <si>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</si>
  <si>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</si>
  <si>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</si>
  <si>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</si>
  <si>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</si>
  <si>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</si>
  <si>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</si>
  <si>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</si>
  <si>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</si>
  <si>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</si>
  <si>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</si>
  <si>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</si>
  <si>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</si>
  <si>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</si>
  <si>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</si>
  <si>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</si>
  <si>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</si>
  <si>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</si>
  <si>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</si>
  <si>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</si>
  <si>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</si>
  <si>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</si>
  <si>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</si>
  <si>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</si>
  <si>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</si>
  <si>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</si>
  <si>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</si>
  <si>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</si>
  <si>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</si>
  <si>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</si>
  <si>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</si>
  <si>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</si>
  <si>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</si>
  <si>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</si>
  <si>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</si>
  <si>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</si>
  <si>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</si>
  <si>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</si>
  <si>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</si>
  <si>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</si>
  <si>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</si>
  <si>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</si>
  <si>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</si>
  <si>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</si>
  <si>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</si>
  <si>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</si>
  <si>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</si>
  <si>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</si>
  <si>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</si>
  <si>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</si>
  <si>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</si>
  <si>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</si>
  <si>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</si>
  <si>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</si>
  <si>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</si>
  <si>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</si>
  <si>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</si>
  <si>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</si>
  <si>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</si>
  <si>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</si>
  <si>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</si>
  <si>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</si>
  <si>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</si>
  <si>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</si>
  <si>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</si>
  <si>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</si>
  <si>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</si>
  <si>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</si>
  <si>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</si>
  <si>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</si>
  <si>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</si>
  <si>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</si>
  <si>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</si>
  <si>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</si>
  <si>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</si>
  <si>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</si>
  <si>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</si>
  <si>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</si>
  <si>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</si>
  <si>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</si>
  <si>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</si>
  <si>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</si>
  <si>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</si>
  <si>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</si>
  <si>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</si>
  <si>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</si>
  <si>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</si>
  <si>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</si>
  <si>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</si>
  <si>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</si>
  <si>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</si>
  <si>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</si>
  <si>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</si>
  <si>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</si>
  <si>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</si>
  <si>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</si>
  <si>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</si>
  <si>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</si>
  <si>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</si>
  <si>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</si>
  <si>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</si>
  <si>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</si>
  <si>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</si>
  <si>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</si>
  <si>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</si>
  <si>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</si>
  <si>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</si>
  <si>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</si>
  <si>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</si>
  <si>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</si>
  <si>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</si>
  <si>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</si>
  <si>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</si>
  <si>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</si>
  <si>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</si>
  <si>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</si>
  <si>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</si>
  <si>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</si>
  <si>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</si>
  <si>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</si>
  <si>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</si>
  <si>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</si>
  <si>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</si>
  <si>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</si>
  <si>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</si>
  <si>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</si>
  <si>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</si>
  <si>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</si>
  <si>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</si>
  <si>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</si>
  <si>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</si>
  <si>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</si>
  <si>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</si>
  <si>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</si>
  <si>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</si>
  <si>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</si>
  <si>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</si>
  <si>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</si>
  <si>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</si>
  <si>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</si>
  <si>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</si>
  <si>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</si>
  <si>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</si>
  <si>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</si>
  <si>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</si>
  <si>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</si>
  <si>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</si>
  <si>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</si>
  <si>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</si>
  <si>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</si>
  <si>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</si>
  <si>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</si>
  <si>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</si>
  <si>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</si>
  <si>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</si>
  <si>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</si>
  <si>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</si>
  <si>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</si>
  <si>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</si>
  <si>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</si>
  <si>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</si>
  <si>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</si>
  <si>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</si>
  <si>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</si>
  <si>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</si>
  <si>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</si>
  <si>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</si>
  <si>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</si>
  <si>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</si>
  <si>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</si>
  <si>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</si>
  <si>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</si>
  <si>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</si>
  <si>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</si>
  <si>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</si>
  <si>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</si>
  <si>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</si>
  <si>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</si>
  <si>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</si>
  <si>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</si>
  <si>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</si>
  <si>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</si>
  <si>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</si>
  <si>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</si>
  <si>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</si>
  <si>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</si>
  <si>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</si>
  <si>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</si>
  <si>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</si>
  <si>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</si>
  <si>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</si>
  <si>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</si>
  <si>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</si>
  <si>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</si>
  <si>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</si>
  <si>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</si>
  <si>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</si>
  <si>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</si>
  <si>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</si>
  <si>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</si>
  <si>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</si>
  <si>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</si>
  <si>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</si>
  <si>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</si>
  <si>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</si>
  <si>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</si>
  <si>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</si>
  <si>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</si>
  <si>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</si>
  <si>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</si>
  <si>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</si>
  <si>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</si>
  <si>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</si>
  <si>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</si>
  <si>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</si>
  <si>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</si>
  <si>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</si>
  <si>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</si>
  <si>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</si>
  <si>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</si>
  <si>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</si>
  <si>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</si>
  <si>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</si>
  <si>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</si>
  <si>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</si>
  <si>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</si>
  <si>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</si>
  <si>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</si>
  <si>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</si>
  <si>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</si>
  <si>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</si>
  <si>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</si>
  <si>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</si>
  <si>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</si>
  <si>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</si>
  <si>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</si>
  <si>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</si>
  <si>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</si>
  <si>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</si>
  <si>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</si>
  <si>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</si>
  <si>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</si>
  <si>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</si>
  <si>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</si>
  <si>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</si>
  <si>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</si>
  <si>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</si>
  <si>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</si>
  <si>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</si>
  <si>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</si>
  <si>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</si>
  <si>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</si>
  <si>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</si>
  <si>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</si>
  <si>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</si>
  <si>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</si>
  <si>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</si>
  <si>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</si>
  <si>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</si>
  <si>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</si>
  <si>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</si>
  <si>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</si>
  <si>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</si>
  <si>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</si>
  <si>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</si>
  <si>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</si>
  <si>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</si>
  <si>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</si>
  <si>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</si>
  <si>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</si>
  <si>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</si>
  <si>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</si>
  <si>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</si>
  <si>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</si>
  <si>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</si>
  <si>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</si>
  <si>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</si>
  <si>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</si>
  <si>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</si>
  <si>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</si>
  <si>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</si>
  <si>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</si>
  <si>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</si>
  <si>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</si>
  <si>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</si>
  <si>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</si>
  <si>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</si>
  <si>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</si>
  <si>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</si>
  <si>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</si>
  <si>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</si>
  <si>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</si>
  <si>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</si>
  <si>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</si>
  <si>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</si>
  <si>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</si>
  <si>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</si>
  <si>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</si>
  <si>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</si>
  <si>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</si>
  <si>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</si>
  <si>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</si>
  <si>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</si>
  <si>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</si>
  <si>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</si>
  <si>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</si>
  <si>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</si>
  <si>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</si>
  <si>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</si>
  <si>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</si>
  <si>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</si>
  <si>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</si>
  <si>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</si>
  <si>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</si>
  <si>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</si>
  <si>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</si>
  <si>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</si>
  <si>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</si>
  <si>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</si>
  <si>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</si>
  <si>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</si>
  <si>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</si>
  <si>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</si>
  <si>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</si>
  <si>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</si>
  <si>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</si>
  <si>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</si>
  <si>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</si>
  <si>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</si>
  <si>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</si>
  <si>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</si>
  <si>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</si>
  <si>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</si>
  <si>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</si>
  <si>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</si>
  <si>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</si>
  <si>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</si>
  <si>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</si>
  <si>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</si>
  <si>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</si>
  <si>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</si>
  <si>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</si>
  <si>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</si>
  <si>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</si>
  <si>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</si>
  <si>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</si>
  <si>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</si>
  <si>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</si>
  <si>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</si>
  <si>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</si>
  <si>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</si>
  <si>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</si>
  <si>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</si>
  <si>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</si>
  <si>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</si>
  <si>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</si>
  <si>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</si>
  <si>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</si>
  <si>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</si>
  <si>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</si>
  <si>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</si>
  <si>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</si>
  <si>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</si>
  <si>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</si>
  <si>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</si>
  <si>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</si>
  <si>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</si>
  <si>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</si>
  <si>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</si>
  <si>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</si>
  <si>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</si>
  <si>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</si>
  <si>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</si>
  <si>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</si>
  <si>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</si>
  <si>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</si>
  <si>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</si>
  <si>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</si>
  <si>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</si>
  <si>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</si>
  <si>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</si>
  <si>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</si>
  <si>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</si>
  <si>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</si>
  <si>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</si>
  <si>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</si>
  <si>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</si>
  <si>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</si>
  <si>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</si>
  <si>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</si>
  <si>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</si>
  <si>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</si>
  <si>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</si>
  <si>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</si>
  <si>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</si>
  <si>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</si>
  <si>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</si>
  <si>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</si>
  <si>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</si>
  <si>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</si>
  <si>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</si>
  <si>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</si>
  <si>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</si>
  <si>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</si>
  <si>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</si>
  <si>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</si>
  <si>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</si>
  <si>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</si>
  <si>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</si>
  <si>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</si>
  <si>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</si>
  <si>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</si>
  <si>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</si>
  <si>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</si>
  <si>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</si>
  <si>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</si>
  <si>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</si>
  <si>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</si>
  <si>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</si>
  <si>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</si>
  <si>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</si>
  <si>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</si>
  <si>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</si>
  <si>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</si>
  <si>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</si>
  <si>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</si>
  <si>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</si>
  <si>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</si>
  <si>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</si>
  <si>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</si>
  <si>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</si>
  <si>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</si>
  <si>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</si>
  <si>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</si>
  <si>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</si>
  <si>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</si>
  <si>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</si>
  <si>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</si>
  <si>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</si>
  <si>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</si>
  <si>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</si>
  <si>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</si>
  <si>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</si>
  <si>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</si>
  <si>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</si>
  <si>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</si>
  <si>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</si>
  <si>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</si>
  <si>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</si>
  <si>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</si>
  <si>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</si>
  <si>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</si>
  <si>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</si>
  <si>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</si>
  <si>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</si>
  <si>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</si>
  <si>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</si>
  <si>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</si>
  <si>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</si>
  <si>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</si>
  <si>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</si>
  <si>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</si>
  <si>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</si>
  <si>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</si>
  <si>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</si>
  <si>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</si>
  <si>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</si>
  <si>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</si>
  <si>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</si>
  <si>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</si>
  <si>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</si>
  <si>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</si>
  <si>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</si>
  <si>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</si>
  <si>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</si>
  <si>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</si>
  <si>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</si>
  <si>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</si>
  <si>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</si>
  <si>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</si>
  <si>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</si>
  <si>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</si>
  <si>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</si>
  <si>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</si>
  <si>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</si>
  <si>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</si>
  <si>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</si>
  <si>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</si>
  <si>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</si>
  <si>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</si>
  <si>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</si>
  <si>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</si>
  <si>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</si>
  <si>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</si>
  <si>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</si>
  <si>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</si>
  <si>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</si>
  <si>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</si>
  <si>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</si>
  <si>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</si>
  <si>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</si>
  <si>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</si>
  <si>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</si>
  <si>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</si>
  <si>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</si>
  <si>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</si>
  <si>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</si>
  <si>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</si>
  <si>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</si>
  <si>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</si>
  <si>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</si>
  <si>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</si>
  <si>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</si>
  <si>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</si>
  <si>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</si>
  <si>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</si>
  <si>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</si>
  <si>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</si>
  <si>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</si>
  <si>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</si>
  <si>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</si>
  <si>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</si>
  <si>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</si>
  <si>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</si>
  <si>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</si>
  <si>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</si>
  <si>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</si>
  <si>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</si>
  <si>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</si>
  <si>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</si>
  <si>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</si>
  <si>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</si>
  <si>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</si>
  <si>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</si>
  <si>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</si>
  <si>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</si>
  <si>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</si>
  <si>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</si>
  <si>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</si>
  <si>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</si>
  <si>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</si>
  <si>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</si>
  <si>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</si>
  <si>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</si>
  <si>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</si>
  <si>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</si>
  <si>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</si>
  <si>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</si>
  <si>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</si>
  <si>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</si>
  <si>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</si>
  <si>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</si>
  <si>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</si>
  <si>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</si>
  <si>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</si>
  <si>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</si>
  <si>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</si>
  <si>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</si>
  <si>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</si>
  <si>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</si>
  <si>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</si>
  <si>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</si>
  <si>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</si>
  <si>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</si>
  <si>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</si>
  <si>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</si>
  <si>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</si>
  <si>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</si>
  <si>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</si>
  <si>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</si>
  <si>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</si>
  <si>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</si>
  <si>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</si>
  <si>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</si>
  <si>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</si>
  <si>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</si>
  <si>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</si>
  <si>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</si>
  <si>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</si>
  <si>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</si>
  <si>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</si>
  <si>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</si>
  <si>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</si>
  <si>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</si>
  <si>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</si>
  <si>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</si>
  <si>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</si>
  <si>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</si>
  <si>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</si>
  <si>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</si>
  <si>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</si>
  <si>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</si>
  <si>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</si>
  <si>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</si>
  <si>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</si>
  <si>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</si>
  <si>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</si>
  <si>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</si>
  <si>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</si>
  <si>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</si>
  <si>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</si>
  <si>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</si>
  <si>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</si>
  <si>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</si>
  <si>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</si>
  <si>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</si>
  <si>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</si>
  <si>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</si>
  <si>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</si>
  <si>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</si>
  <si>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</si>
  <si>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</si>
  <si>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</si>
  <si>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</si>
  <si>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</si>
  <si>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</si>
  <si>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</si>
  <si>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</si>
  <si>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</si>
  <si>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</si>
  <si>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</si>
  <si>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</si>
  <si>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</si>
  <si>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</si>
  <si>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</si>
  <si>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</si>
  <si>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</si>
  <si>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</si>
  <si>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</si>
  <si>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</si>
  <si>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</si>
  <si>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</si>
  <si>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</si>
  <si>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</si>
  <si>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</si>
  <si>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</si>
  <si>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</si>
  <si>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</si>
  <si>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</si>
  <si>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</si>
  <si>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</si>
  <si>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</si>
  <si>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</si>
  <si>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</si>
  <si>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</si>
  <si>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</si>
  <si>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</si>
  <si>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</si>
  <si>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</si>
  <si>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</si>
  <si>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</si>
  <si>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</si>
  <si>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</si>
  <si>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</si>
  <si>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</si>
  <si>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</si>
  <si>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</si>
  <si>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</si>
  <si>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</si>
  <si>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</si>
  <si>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</si>
  <si>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</si>
  <si>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</si>
  <si>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</si>
  <si>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</si>
  <si>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</si>
  <si>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</si>
  <si>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</si>
  <si>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</si>
  <si>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</si>
  <si>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</si>
  <si>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</si>
  <si>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</si>
  <si>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</si>
  <si>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</si>
  <si>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</si>
  <si>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</si>
  <si>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</si>
  <si>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</si>
  <si>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</si>
  <si>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</si>
  <si>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</si>
  <si>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</si>
  <si>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</si>
  <si>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</si>
  <si>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</si>
  <si>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</si>
  <si>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</si>
  <si>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</si>
  <si>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</si>
  <si>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</si>
  <si>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</si>
  <si>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</si>
  <si>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</si>
  <si>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</si>
  <si>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</si>
  <si>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</si>
  <si>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</si>
  <si>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</si>
  <si>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</si>
  <si>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</si>
  <si>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</si>
  <si>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</si>
  <si>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</si>
  <si>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</si>
  <si>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</si>
  <si>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</si>
  <si>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</si>
  <si>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</si>
  <si>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</si>
  <si>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</si>
  <si>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</si>
  <si>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</si>
  <si>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</si>
  <si>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</si>
  <si>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</si>
  <si>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</si>
  <si>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</si>
  <si>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</si>
  <si>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</si>
  <si>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</si>
  <si>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</si>
  <si>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</si>
  <si>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</si>
  <si>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</si>
  <si>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</si>
  <si>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</si>
  <si>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</si>
  <si>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</si>
  <si>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</si>
  <si>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</si>
  <si>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</si>
  <si>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</si>
  <si>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</si>
  <si>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</si>
  <si>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</si>
  <si>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</si>
  <si>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</si>
  <si>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</si>
  <si>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</si>
  <si>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</si>
  <si>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</si>
  <si>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</si>
  <si>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</si>
  <si>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</si>
  <si>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</si>
  <si>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</si>
  <si>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</si>
  <si>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</si>
  <si>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</si>
  <si>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</si>
  <si>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</si>
  <si>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</si>
  <si>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</si>
  <si>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</si>
  <si>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</si>
  <si>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</si>
  <si>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</si>
  <si>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</si>
  <si>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</si>
  <si>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</si>
  <si>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</si>
  <si>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</si>
  <si>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</si>
  <si>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</si>
  <si>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</si>
  <si>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</si>
  <si>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</si>
  <si>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</si>
  <si>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</si>
  <si>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</si>
  <si>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</si>
  <si>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</si>
  <si>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</si>
  <si>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</si>
  <si>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</si>
  <si>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</si>
  <si>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</si>
  <si>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</si>
  <si>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</si>
  <si>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</si>
  <si>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</si>
  <si>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</si>
  <si>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</si>
  <si>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</si>
  <si>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</si>
  <si>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</si>
  <si>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</si>
  <si>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</si>
  <si>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</si>
  <si>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</si>
  <si>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</si>
  <si>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</si>
  <si>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</si>
  <si>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</si>
  <si>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</si>
  <si>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</si>
  <si>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</si>
  <si>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</si>
  <si>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</si>
  <si>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</si>
  <si>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</si>
  <si>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</si>
  <si>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</si>
  <si>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</si>
  <si>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</si>
  <si>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</si>
  <si>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</si>
  <si>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</si>
  <si>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</si>
  <si>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</si>
  <si>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</si>
  <si>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</si>
  <si>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</si>
  <si>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</si>
  <si>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</si>
  <si>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</si>
  <si>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</si>
  <si>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</si>
  <si>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</si>
  <si>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</si>
  <si>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</si>
  <si>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</si>
  <si>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</si>
  <si>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</si>
  <si>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</si>
  <si>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</si>
  <si>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</si>
  <si>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</si>
  <si>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</si>
  <si>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</si>
  <si>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</si>
  <si>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</si>
  <si>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</si>
  <si>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</si>
  <si>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</si>
  <si>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</si>
  <si>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</si>
  <si>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</si>
  <si>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</si>
  <si>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</si>
  <si>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</si>
  <si>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</si>
  <si>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</si>
  <si>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</si>
  <si>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</si>
  <si>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</si>
  <si>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</si>
  <si>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</si>
  <si>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</si>
  <si>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</si>
  <si>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</si>
  <si>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</si>
  <si>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</si>
  <si>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</si>
  <si>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</si>
  <si>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</si>
  <si>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</si>
  <si>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</si>
  <si>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</si>
  <si>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</si>
  <si>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</si>
  <si>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</si>
  <si>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</si>
  <si>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</si>
  <si>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</si>
  <si>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</si>
  <si>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</si>
  <si>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</si>
  <si>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</si>
  <si>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</si>
  <si>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</si>
  <si>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</si>
  <si>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</si>
  <si>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</si>
  <si>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</si>
  <si>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</si>
  <si>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</si>
  <si>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</si>
  <si>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</si>
  <si>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</si>
  <si>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</si>
  <si>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</si>
  <si>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</si>
  <si>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</si>
  <si>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</si>
  <si>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</si>
  <si>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</si>
  <si>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</si>
  <si>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</si>
  <si>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</si>
  <si>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</si>
  <si>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</si>
  <si>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</si>
  <si>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</si>
  <si>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</si>
  <si>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</si>
  <si>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</si>
  <si>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</si>
  <si>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</si>
  <si>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</si>
  <si>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</si>
  <si>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</si>
  <si>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</si>
  <si>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</si>
  <si>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</si>
  <si>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</si>
  <si>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</si>
  <si>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</si>
  <si>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</si>
  <si>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</si>
  <si>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</si>
  <si>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</si>
  <si>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</si>
  <si>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</si>
  <si>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</si>
  <si>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</si>
  <si>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</si>
  <si>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</si>
  <si>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</si>
  <si>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</si>
  <si>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</si>
  <si>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</si>
  <si>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</si>
  <si>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</si>
  <si>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</si>
  <si>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</si>
  <si>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</si>
  <si>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</si>
  <si>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</si>
  <si>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</si>
  <si>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</si>
  <si>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</si>
  <si>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</si>
  <si>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</si>
  <si>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</si>
  <si>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</si>
  <si>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</si>
  <si>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</si>
  <si>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</si>
  <si>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</si>
  <si>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</si>
  <si>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</si>
  <si>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</si>
  <si>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</si>
  <si>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</si>
  <si>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</si>
  <si>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</si>
  <si>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</si>
  <si>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</si>
  <si>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</si>
  <si>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</si>
  <si>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</si>
  <si>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</si>
  <si>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</si>
  <si>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</si>
  <si>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</si>
  <si>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</si>
  <si>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</si>
  <si>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</si>
  <si>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</si>
  <si>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</si>
  <si>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</si>
  <si>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</si>
  <si>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</si>
  <si>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</si>
  <si>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</si>
  <si>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</si>
  <si>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</si>
  <si>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</si>
  <si>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</si>
  <si>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</si>
  <si>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</si>
  <si>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</si>
  <si>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</si>
  <si>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</si>
  <si>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</si>
  <si>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</si>
  <si>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</si>
  <si>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</si>
  <si>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</si>
  <si>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</si>
  <si>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</si>
  <si>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</si>
  <si>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</si>
  <si>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</si>
  <si>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</si>
  <si>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</si>
  <si>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</si>
  <si>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</si>
  <si>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</si>
  <si>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</si>
  <si>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</si>
  <si>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</si>
  <si>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</si>
  <si>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</si>
  <si>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</si>
  <si>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</si>
  <si>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</si>
  <si>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</si>
  <si>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</si>
  <si>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</si>
  <si>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</si>
  <si>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</si>
  <si>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</si>
  <si>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</si>
  <si>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</si>
  <si>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</si>
  <si>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</si>
  <si>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</si>
  <si>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</si>
  <si>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</si>
  <si>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</si>
  <si>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</si>
  <si>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</si>
  <si>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</si>
  <si>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</si>
  <si>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</si>
  <si>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</si>
  <si>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</si>
  <si>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</si>
  <si>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</si>
  <si>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</si>
  <si>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</si>
  <si>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</si>
  <si>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</si>
  <si>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</si>
  <si>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</si>
  <si>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</si>
  <si>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</si>
  <si>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</si>
  <si>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</si>
  <si>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</si>
  <si>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</si>
  <si>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</si>
  <si>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</si>
  <si>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</si>
  <si>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</si>
  <si>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</si>
  <si>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</si>
  <si>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</si>
  <si>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</si>
  <si>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</si>
  <si>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</si>
  <si>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</si>
  <si>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</si>
  <si>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</si>
  <si>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</si>
  <si>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</si>
  <si>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</si>
  <si>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</si>
  <si>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</si>
  <si>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</si>
  <si>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</si>
  <si>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</si>
  <si>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</si>
  <si>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</si>
  <si>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</si>
  <si>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</si>
  <si>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</si>
  <si>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</si>
  <si>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</si>
  <si>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</si>
  <si>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</si>
  <si>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</si>
  <si>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</si>
  <si>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</si>
  <si>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</si>
  <si>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</si>
  <si>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</si>
  <si>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</si>
  <si>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</si>
  <si>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</si>
  <si>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</si>
  <si>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</si>
  <si>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</si>
  <si>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</si>
  <si>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</si>
  <si>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</si>
  <si>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</si>
  <si>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</si>
  <si>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</si>
  <si>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</si>
  <si>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</si>
  <si>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</si>
  <si>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</si>
  <si>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</si>
  <si>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</si>
  <si>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</si>
  <si>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</si>
  <si>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</si>
  <si>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</si>
  <si>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</si>
  <si>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</si>
  <si>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</si>
  <si>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</si>
  <si>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</si>
  <si>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</si>
  <si>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</si>
  <si>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</si>
  <si>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</si>
  <si>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</si>
  <si>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</si>
  <si>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</si>
  <si>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</si>
  <si>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</si>
  <si>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</si>
  <si>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</si>
  <si>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</si>
  <si>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</si>
  <si>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</si>
  <si>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</si>
  <si>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</si>
  <si>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</si>
  <si>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</si>
  <si>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</si>
  <si>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</si>
  <si>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</si>
  <si>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</si>
  <si>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</si>
  <si>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</si>
  <si>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</si>
  <si>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</si>
  <si>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</si>
  <si>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</si>
  <si>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</si>
  <si>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</si>
  <si>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</si>
  <si>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</si>
  <si>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</si>
  <si>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</si>
  <si>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</si>
  <si>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</si>
  <si>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</si>
  <si>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</si>
  <si>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</si>
  <si>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</si>
  <si>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</si>
  <si>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</si>
  <si>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</si>
  <si>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</si>
  <si>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</si>
  <si>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</si>
  <si>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</si>
  <si>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</si>
  <si>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</si>
  <si>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</si>
  <si>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</si>
  <si>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</si>
  <si>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</si>
  <si>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</si>
  <si>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</si>
  <si>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</si>
  <si>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</si>
  <si>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</si>
  <si>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</si>
  <si>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</si>
  <si>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</si>
  <si>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</si>
  <si>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</si>
  <si>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</si>
  <si>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</si>
  <si>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</si>
  <si>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</si>
  <si>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</si>
  <si>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</si>
  <si>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</si>
  <si>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</si>
  <si>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</si>
  <si>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</si>
  <si>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</si>
  <si>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</si>
  <si>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</si>
  <si>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</si>
  <si>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</si>
  <si>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</si>
  <si>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</si>
  <si>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</si>
  <si>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</si>
  <si>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</si>
  <si>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</si>
  <si>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</si>
  <si>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</si>
  <si>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</si>
  <si>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</si>
  <si>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</si>
  <si>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</si>
  <si>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</si>
  <si>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</si>
  <si>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</si>
  <si>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</si>
  <si>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</si>
  <si>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</si>
  <si>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</si>
  <si>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</si>
  <si>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</si>
  <si>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</si>
  <si>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</si>
  <si>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</si>
  <si>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</si>
  <si>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</si>
  <si>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</si>
  <si>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</si>
  <si>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</si>
  <si>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</si>
  <si>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</si>
  <si>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</si>
  <si>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</si>
  <si>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</si>
  <si>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</si>
  <si>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</si>
  <si>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</si>
  <si>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</si>
  <si>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</si>
  <si>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</si>
  <si>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</si>
  <si>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</si>
  <si>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</si>
  <si>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</si>
  <si>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</si>
  <si>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</si>
  <si>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</si>
  <si>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</si>
  <si>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</si>
  <si>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</si>
  <si>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</si>
  <si>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</si>
  <si>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</si>
  <si>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</si>
  <si>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</si>
  <si>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</si>
  <si>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</si>
  <si>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</si>
  <si>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</si>
  <si>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</si>
  <si>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</si>
  <si>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</si>
  <si>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</si>
  <si>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</si>
  <si>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</si>
  <si>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</si>
  <si>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</si>
  <si>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</si>
  <si>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</si>
  <si>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</si>
  <si>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</si>
  <si>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</si>
  <si>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</si>
  <si>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</si>
  <si>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</si>
  <si>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</si>
  <si>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</si>
  <si>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</si>
  <si>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</si>
  <si>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</si>
  <si>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</si>
  <si>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</si>
  <si>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</si>
  <si>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</si>
  <si>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</si>
  <si>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</si>
  <si>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</si>
  <si>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</si>
  <si>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</si>
  <si>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</si>
  <si>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</si>
  <si>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</si>
  <si>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</si>
  <si>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</si>
  <si>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</si>
  <si>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</si>
  <si>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</si>
  <si>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</si>
  <si>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</si>
  <si>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</si>
  <si>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</si>
  <si>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</si>
  <si>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</si>
  <si>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</si>
  <si>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</si>
  <si>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</si>
  <si>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</si>
  <si>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</si>
  <si>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</si>
  <si>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</si>
  <si>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</si>
  <si>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</si>
  <si>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</si>
  <si>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</si>
  <si>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</si>
  <si>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</si>
  <si>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</si>
  <si>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</si>
  <si>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</si>
  <si>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</si>
  <si>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</si>
  <si>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</si>
  <si>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</si>
  <si>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</si>
  <si>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</si>
  <si>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</si>
  <si>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</si>
  <si>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</si>
  <si>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</si>
  <si>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</si>
  <si>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</si>
  <si>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</si>
  <si>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</si>
  <si>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</si>
  <si>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</si>
  <si>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</si>
  <si>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</si>
  <si>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</si>
  <si>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</si>
  <si>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</si>
  <si>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</si>
  <si>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</si>
  <si>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</si>
  <si>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</si>
  <si>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</si>
  <si>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</si>
  <si>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</si>
  <si>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</si>
  <si>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</si>
  <si>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</si>
  <si>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</si>
  <si>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</si>
  <si>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</si>
  <si>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</si>
  <si>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</si>
  <si>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</si>
  <si>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</si>
  <si>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</si>
  <si>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</si>
  <si>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</si>
  <si>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</si>
  <si>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</si>
  <si>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</si>
  <si>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</si>
  <si>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</si>
  <si>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</si>
  <si>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</si>
  <si>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</si>
  <si>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</si>
  <si>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</si>
  <si>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</si>
  <si>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</si>
  <si>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</si>
  <si>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</si>
  <si>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</si>
  <si>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</si>
  <si>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</si>
  <si>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</si>
  <si>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</si>
  <si>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</si>
  <si>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</si>
  <si>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</si>
  <si>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</si>
  <si>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</si>
  <si>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</si>
  <si>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</si>
  <si>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</si>
  <si>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</si>
  <si>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</si>
  <si>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</si>
  <si>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</si>
  <si>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</si>
  <si>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</si>
  <si>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</si>
  <si>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</si>
  <si>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</si>
  <si>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</si>
  <si>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</si>
  <si>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</si>
  <si>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</si>
  <si>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</si>
  <si>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</si>
  <si>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</si>
  <si>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</si>
  <si>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</si>
  <si>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</si>
  <si>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</si>
  <si>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</si>
  <si>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</si>
  <si>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</si>
  <si>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</si>
  <si>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</si>
  <si>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</si>
  <si>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</si>
  <si>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</si>
  <si>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</si>
  <si>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</si>
  <si>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</si>
  <si>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</si>
  <si>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</si>
  <si>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</si>
  <si>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</si>
  <si>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</si>
  <si>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</si>
  <si>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</si>
  <si>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</si>
  <si>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</si>
  <si>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</si>
  <si>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</si>
  <si>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</si>
  <si>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</si>
  <si>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</si>
  <si>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</si>
  <si>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</si>
  <si>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</si>
  <si>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</si>
  <si>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</si>
  <si>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</si>
  <si>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</si>
  <si>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</si>
  <si>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</si>
  <si>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</si>
  <si>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</si>
  <si>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</si>
  <si>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</si>
  <si>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</si>
  <si>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</si>
  <si>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</si>
  <si>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</si>
  <si>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</si>
  <si>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</si>
  <si>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</si>
  <si>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</si>
  <si>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</si>
  <si>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</si>
  <si>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</si>
  <si>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</si>
  <si>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</si>
  <si>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</si>
  <si>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</si>
  <si>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</si>
  <si>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</si>
  <si>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</si>
  <si>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</si>
  <si>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</si>
  <si>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</si>
  <si>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</si>
  <si>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</si>
  <si>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</si>
  <si>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</si>
  <si>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</si>
  <si>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</si>
  <si>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</si>
  <si>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</si>
  <si>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</si>
  <si>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</si>
  <si>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</si>
  <si>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</si>
  <si>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</si>
  <si>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</si>
  <si>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</si>
  <si>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</si>
  <si>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</si>
  <si>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</si>
  <si>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</si>
  <si>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</si>
  <si>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</si>
  <si>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</si>
  <si>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</si>
  <si>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</si>
  <si>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</si>
  <si>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</si>
  <si>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</si>
  <si>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</si>
  <si>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</si>
  <si>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</si>
  <si>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</si>
  <si>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</si>
  <si>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</si>
  <si>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</si>
  <si>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</si>
  <si>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</si>
  <si>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</si>
  <si>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</si>
  <si>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</si>
  <si>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</si>
  <si>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</si>
  <si>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</si>
  <si>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</si>
  <si>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</si>
  <si>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</si>
  <si>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</si>
  <si>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</si>
  <si>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</si>
  <si>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</si>
  <si>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</si>
  <si>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</si>
  <si>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</si>
  <si>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</si>
  <si>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</si>
  <si>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</si>
  <si>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</si>
  <si>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</si>
  <si>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</si>
  <si>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</si>
  <si>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</si>
  <si>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</si>
  <si>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</si>
  <si>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</si>
  <si>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</si>
  <si>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</si>
  <si>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</si>
  <si>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</si>
  <si>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</si>
  <si>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</si>
  <si>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</si>
  <si>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</si>
  <si>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</si>
  <si>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</si>
  <si>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</si>
  <si>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</si>
  <si>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</si>
  <si>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</si>
  <si>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</si>
  <si>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</si>
  <si>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</si>
  <si>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</si>
  <si>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</si>
  <si>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</si>
  <si>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</si>
  <si>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</si>
  <si>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</si>
  <si>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</si>
  <si>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</si>
  <si>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</si>
  <si>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</si>
  <si>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</si>
  <si>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</si>
  <si>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</si>
  <si>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</si>
  <si>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</si>
  <si>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</si>
  <si>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</si>
  <si>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</si>
  <si>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</si>
  <si>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</si>
  <si>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</si>
  <si>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</si>
  <si>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</si>
  <si>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</si>
  <si>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</si>
  <si>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</si>
  <si>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</si>
  <si>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</si>
  <si>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</si>
  <si>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</si>
  <si>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</si>
  <si>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</si>
  <si>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</si>
  <si>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</si>
  <si>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</si>
  <si>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</si>
  <si>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</si>
  <si>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</si>
  <si>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</si>
  <si>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</si>
  <si>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</si>
  <si>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</si>
  <si>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</si>
  <si>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</si>
  <si>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</si>
  <si>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</si>
  <si>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</si>
  <si>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</si>
  <si>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</si>
  <si>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</si>
  <si>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</si>
  <si>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</si>
  <si>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</si>
  <si>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</si>
  <si>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</si>
  <si>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</si>
  <si>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</si>
  <si>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</si>
  <si>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</si>
  <si>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</si>
  <si>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</si>
  <si>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</si>
  <si>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</si>
  <si>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</si>
  <si>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</si>
  <si>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</si>
  <si>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</si>
  <si>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</si>
  <si>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</si>
  <si>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</si>
  <si>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</si>
  <si>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</si>
  <si>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</si>
  <si>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</si>
  <si>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</si>
  <si>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</si>
  <si>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</si>
  <si>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</si>
  <si>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</si>
  <si>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</si>
  <si>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</si>
  <si>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</si>
  <si>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</si>
  <si>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</si>
  <si>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</si>
  <si>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</si>
  <si>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</si>
  <si>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</si>
  <si>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</si>
  <si>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</si>
  <si>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</si>
  <si>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</si>
  <si>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</si>
  <si>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</si>
  <si>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</si>
  <si>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</si>
  <si>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</si>
  <si>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</si>
  <si>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</si>
  <si>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</si>
  <si>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</si>
  <si>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</si>
  <si>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</si>
  <si>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</si>
  <si>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</si>
  <si>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</si>
  <si>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</si>
  <si>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</si>
  <si>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</si>
  <si>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</si>
  <si>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</si>
  <si>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</si>
  <si>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</si>
  <si>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</si>
  <si>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</si>
  <si>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</si>
  <si>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</si>
  <si>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</si>
  <si>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</si>
  <si>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</si>
  <si>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</si>
  <si>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</si>
  <si>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</si>
  <si>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</si>
  <si>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</si>
  <si>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</si>
  <si>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</si>
  <si>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</si>
  <si>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</si>
  <si>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</si>
  <si>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</si>
  <si>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</si>
  <si>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</si>
  <si>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</si>
  <si>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</si>
  <si>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</si>
  <si>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</si>
  <si>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</si>
  <si>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</si>
  <si>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</si>
  <si>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</si>
  <si>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</si>
  <si>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</si>
  <si>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</si>
  <si>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</si>
  <si>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</si>
  <si>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</si>
  <si>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</si>
  <si>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</si>
  <si>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</si>
  <si>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</si>
  <si>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</si>
  <si>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</si>
  <si>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</si>
  <si>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</si>
  <si>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</si>
  <si>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</si>
  <si>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</si>
  <si>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</si>
  <si>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</si>
  <si>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</si>
  <si>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</si>
  <si>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</si>
  <si>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</si>
  <si>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</si>
  <si>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</si>
  <si>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</si>
  <si>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</si>
  <si>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</si>
  <si>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</si>
  <si>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</si>
  <si>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</si>
  <si>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</si>
  <si>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</si>
  <si>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</si>
  <si>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</si>
  <si>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</si>
  <si>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</si>
  <si>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</si>
  <si>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</si>
  <si>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</si>
  <si>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</si>
  <si>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</si>
  <si>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</si>
  <si>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</si>
  <si>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</si>
  <si>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</si>
  <si>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</si>
  <si>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</si>
  <si>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</si>
  <si>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</si>
  <si>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</si>
  <si>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</si>
  <si>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</si>
  <si>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</si>
  <si>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</si>
  <si>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</si>
  <si>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</si>
  <si>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</si>
  <si>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</si>
  <si>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</si>
  <si>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</si>
  <si>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</si>
  <si>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</si>
  <si>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</si>
  <si>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</si>
  <si>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</si>
  <si>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</si>
  <si>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</si>
  <si>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</si>
  <si>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</si>
  <si>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</si>
  <si>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</si>
  <si>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</si>
  <si>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</si>
  <si>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</si>
  <si>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</si>
  <si>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</si>
  <si>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</si>
  <si>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</si>
  <si>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</si>
  <si>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</si>
  <si>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</si>
  <si>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</si>
  <si>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</si>
  <si>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</si>
  <si>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</si>
  <si>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</si>
  <si>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</si>
  <si>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</si>
  <si>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</si>
  <si>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</si>
  <si>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</si>
  <si>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</si>
  <si>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</si>
  <si>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</si>
  <si>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</si>
  <si>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</si>
  <si>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</si>
  <si>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</si>
  <si>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</si>
  <si>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</si>
  <si>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</si>
  <si>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</si>
  <si>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</si>
  <si>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</si>
  <si>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</si>
  <si>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</si>
  <si>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</si>
  <si>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</si>
  <si>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</si>
  <si>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</si>
  <si>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</si>
  <si>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</si>
  <si>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</si>
  <si>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</si>
  <si>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</si>
  <si>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</si>
  <si>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</si>
  <si>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</si>
  <si>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</si>
  <si>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</si>
  <si>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</si>
  <si>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</si>
  <si>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</si>
  <si>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</si>
  <si>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</si>
  <si>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</si>
  <si>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</si>
  <si>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</si>
  <si>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</si>
  <si>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</si>
  <si>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</si>
  <si>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</si>
  <si>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</si>
  <si>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</si>
  <si>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</si>
  <si>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</si>
  <si>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</si>
  <si>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</si>
  <si>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</si>
  <si>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</si>
  <si>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</si>
  <si>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</si>
  <si>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</si>
  <si>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</si>
  <si>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</si>
  <si>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</si>
  <si>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</si>
  <si>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</si>
  <si>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</si>
  <si>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</si>
  <si>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</si>
  <si>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</si>
  <si>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</si>
  <si>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</si>
  <si>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</si>
  <si>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</si>
  <si>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</si>
  <si>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</si>
  <si>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</si>
  <si>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</si>
  <si>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</si>
  <si>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</si>
  <si>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</si>
  <si>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</si>
  <si>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</si>
  <si>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</si>
  <si>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</si>
  <si>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</si>
  <si>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</si>
  <si>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</si>
  <si>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</si>
  <si>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</si>
  <si>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</si>
  <si>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</si>
  <si>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</si>
  <si>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</si>
  <si>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</si>
  <si>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</si>
  <si>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</si>
  <si>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</si>
  <si>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</si>
  <si>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</si>
  <si>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</si>
  <si>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</si>
  <si>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</si>
  <si>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</si>
  <si>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</si>
  <si>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</si>
  <si>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</si>
  <si>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</si>
  <si>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</si>
  <si>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</si>
  <si>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</si>
  <si>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</si>
  <si>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</si>
  <si>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</si>
  <si>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</si>
  <si>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</si>
  <si>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</si>
  <si>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</si>
  <si>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</si>
  <si>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</si>
  <si>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</si>
  <si>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</si>
  <si>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</si>
  <si>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</si>
  <si>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</si>
  <si>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</si>
  <si>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</si>
  <si>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</si>
  <si>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</si>
  <si>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</si>
  <si>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</si>
  <si>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</si>
  <si>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</si>
  <si>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</si>
  <si>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</si>
  <si>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</si>
  <si>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</si>
  <si>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</si>
  <si>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</si>
  <si>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</si>
  <si>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</si>
  <si>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</si>
  <si>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</si>
  <si>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</si>
  <si>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</si>
  <si>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</si>
  <si>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</si>
  <si>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</si>
  <si>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</si>
  <si>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</si>
  <si>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</si>
  <si>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</si>
  <si>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</si>
  <si>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</si>
  <si>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</si>
  <si>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</si>
  <si>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</si>
  <si>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</si>
  <si>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</si>
  <si>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</si>
  <si>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</si>
  <si>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</si>
  <si>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</si>
  <si>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</si>
  <si>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</si>
  <si>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</si>
  <si>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</si>
  <si>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</si>
  <si>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</si>
  <si>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</si>
  <si>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</si>
  <si>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</si>
  <si>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</si>
  <si>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</si>
  <si>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</si>
  <si>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</si>
  <si>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</si>
  <si>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</si>
  <si>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</si>
  <si>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</si>
  <si>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</si>
  <si>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</si>
  <si>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</si>
  <si>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</si>
  <si>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</si>
  <si>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</si>
  <si>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</si>
  <si>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</si>
  <si>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</si>
  <si>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</si>
  <si>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</si>
  <si>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</si>
  <si>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</si>
  <si>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</si>
  <si>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</si>
  <si>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</si>
  <si>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</si>
  <si>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</si>
  <si>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</si>
  <si>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</si>
  <si>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</si>
  <si>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</si>
  <si>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</si>
  <si>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</si>
  <si>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</si>
  <si>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</si>
  <si>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</si>
  <si>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</si>
  <si>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</si>
  <si>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</si>
  <si>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</si>
  <si>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</si>
  <si>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</si>
  <si>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</si>
  <si>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</si>
  <si>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</si>
  <si>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</si>
  <si>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</si>
  <si>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</si>
  <si>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</si>
  <si>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</si>
  <si>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</si>
  <si>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</si>
  <si>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</si>
  <si>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</si>
  <si>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</si>
  <si>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</si>
  <si>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</si>
  <si>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</si>
  <si>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</si>
  <si>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</si>
  <si>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</si>
  <si>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</si>
  <si>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</si>
  <si>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</si>
  <si>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</si>
  <si>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</si>
  <si>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</si>
  <si>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</si>
  <si>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</si>
  <si>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</si>
  <si>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</si>
  <si>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</si>
  <si>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</si>
  <si>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</si>
  <si>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</si>
  <si>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</si>
  <si>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</si>
  <si>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</si>
  <si>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</si>
  <si>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</si>
  <si>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</si>
  <si>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</si>
  <si>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</si>
  <si>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</si>
  <si>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</si>
  <si>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</si>
  <si>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</si>
  <si>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</si>
  <si>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</si>
  <si>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</si>
  <si>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</si>
  <si>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</si>
  <si>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</si>
  <si>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</si>
  <si>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</si>
  <si>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</si>
  <si>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</si>
  <si>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</si>
  <si>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</si>
  <si>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</si>
  <si>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</si>
  <si>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</si>
  <si>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</si>
  <si>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</si>
  <si>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</si>
  <si>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</si>
  <si>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</si>
  <si>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</si>
  <si>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</si>
  <si>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</si>
  <si>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</si>
  <si>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</si>
  <si>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</si>
  <si>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</si>
  <si>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</si>
  <si>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</si>
  <si>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</si>
  <si>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</si>
  <si>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</si>
  <si>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</si>
  <si>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</si>
  <si>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</si>
  <si>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</si>
  <si>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</si>
  <si>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</si>
  <si>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</si>
  <si>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</si>
  <si>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</si>
  <si>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</si>
  <si>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</si>
  <si>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</si>
  <si>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</si>
  <si>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</si>
  <si>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</si>
  <si>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</si>
  <si>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</si>
  <si>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</si>
  <si>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</si>
  <si>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</si>
  <si>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</si>
  <si>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</si>
  <si>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</si>
  <si>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</si>
  <si>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</si>
  <si>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</si>
  <si>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</si>
  <si>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</si>
  <si>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</si>
  <si>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</si>
  <si>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</si>
  <si>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</si>
  <si>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</si>
  <si>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</si>
  <si>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</si>
  <si>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</si>
  <si>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</si>
  <si>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</si>
  <si>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</si>
  <si>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</si>
  <si>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</si>
  <si>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</si>
  <si>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</si>
  <si>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</si>
  <si>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</si>
  <si>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</si>
  <si>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</si>
  <si>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</si>
  <si>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</si>
  <si>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</si>
  <si>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</si>
  <si>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</si>
  <si>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</si>
  <si>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</si>
  <si>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</si>
  <si>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</si>
  <si>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</si>
  <si>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</si>
  <si>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</si>
  <si>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</si>
  <si>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</si>
  <si>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</si>
  <si>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</si>
  <si>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</si>
  <si>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</si>
  <si>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</si>
  <si>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</si>
  <si>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</si>
  <si>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</si>
  <si>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</si>
  <si>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</si>
  <si>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</si>
  <si>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</si>
  <si>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</si>
  <si>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</si>
  <si>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</si>
  <si>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</si>
  <si>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</si>
  <si>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</si>
  <si>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</si>
  <si>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</si>
  <si>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</si>
  <si>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</si>
  <si>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</si>
  <si>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</si>
  <si>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</si>
  <si>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</si>
  <si>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</si>
  <si>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</si>
  <si>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</si>
  <si>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</si>
  <si>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</si>
  <si>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</si>
  <si>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</si>
  <si>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</si>
  <si>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</si>
  <si>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</si>
  <si>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</si>
  <si>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</si>
  <si>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</si>
  <si>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</si>
  <si>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</si>
  <si>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</si>
  <si>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</si>
  <si>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</si>
  <si>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</si>
  <si>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</si>
  <si>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</si>
  <si>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</si>
  <si>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</si>
  <si>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</si>
  <si>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</si>
  <si>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</si>
  <si>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</si>
  <si>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</si>
  <si>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</si>
  <si>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</si>
  <si>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</si>
  <si>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</si>
  <si>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</si>
  <si>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</si>
  <si>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</si>
  <si>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</si>
  <si>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</si>
  <si>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</si>
  <si>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</si>
  <si>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</si>
  <si>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</si>
  <si>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</si>
  <si>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</si>
  <si>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</si>
  <si>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</si>
  <si>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</si>
  <si>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</si>
  <si>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</si>
  <si>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</si>
  <si>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</si>
  <si>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</si>
  <si>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</si>
  <si>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</si>
  <si>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</si>
  <si>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</si>
  <si>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</si>
  <si>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</si>
  <si>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</si>
  <si>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</si>
  <si>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</si>
  <si>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</si>
  <si>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</si>
  <si>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</si>
  <si>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</si>
  <si>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</si>
  <si>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</si>
  <si>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</si>
  <si>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</si>
  <si>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</si>
  <si>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</si>
  <si>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</si>
  <si>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</si>
  <si>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</si>
  <si>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</si>
  <si>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</si>
  <si>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</si>
  <si>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</si>
  <si>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</si>
  <si>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</si>
  <si>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</si>
  <si>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</si>
  <si>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</si>
  <si>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</si>
  <si>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</si>
  <si>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</si>
  <si>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</si>
  <si>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</si>
  <si>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</si>
  <si>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</si>
  <si>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</si>
  <si>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</si>
  <si>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</si>
  <si>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</si>
  <si>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</si>
  <si>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</si>
  <si>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</si>
  <si>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</si>
  <si>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</si>
  <si>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</si>
  <si>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</si>
  <si>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</si>
  <si>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</si>
  <si>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</si>
  <si>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</si>
  <si>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</si>
  <si>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</si>
  <si>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</si>
  <si>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</si>
  <si>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</si>
  <si>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</si>
  <si>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</si>
  <si>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</si>
  <si>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</si>
  <si>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</si>
  <si>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</si>
  <si>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</si>
  <si>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</si>
  <si>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</si>
  <si>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</si>
  <si>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</si>
  <si>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</si>
  <si>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</si>
  <si>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</si>
  <si>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</si>
  <si>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</si>
  <si>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</si>
  <si>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</si>
  <si>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</si>
  <si>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</si>
  <si>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</si>
  <si>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</si>
  <si>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</si>
  <si>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</si>
  <si>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</si>
  <si>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</si>
  <si>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</si>
  <si>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</si>
  <si>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</si>
  <si>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</si>
  <si>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</si>
  <si>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</si>
  <si>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</si>
  <si>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</si>
  <si>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</si>
  <si>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</si>
  <si>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</si>
  <si>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</si>
  <si>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</si>
  <si>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</si>
  <si>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</si>
  <si>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</si>
  <si>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</si>
  <si>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</si>
  <si>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</si>
  <si>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</si>
  <si>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</si>
  <si>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</si>
  <si>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</si>
  <si>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</si>
  <si>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</si>
  <si>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</si>
  <si>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</si>
  <si>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</si>
  <si>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</si>
  <si>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</si>
  <si>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</si>
  <si>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</si>
  <si>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</si>
  <si>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</si>
  <si>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</si>
  <si>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</si>
  <si>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</si>
  <si>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</si>
  <si>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</si>
  <si>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</si>
  <si>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</si>
  <si>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</si>
  <si>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</si>
  <si>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</si>
  <si>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</si>
  <si>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</si>
  <si>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</si>
  <si>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</si>
  <si>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</si>
  <si>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</si>
  <si>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</si>
  <si>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</si>
  <si>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</si>
  <si>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</si>
  <si>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</si>
  <si>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</si>
  <si>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</si>
  <si>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</si>
  <si>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</si>
  <si>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</si>
  <si>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</si>
  <si>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</si>
  <si>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</si>
  <si>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</si>
  <si>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</si>
  <si>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</si>
  <si>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</si>
  <si>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</si>
  <si>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</si>
  <si>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</si>
  <si>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</si>
  <si>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</si>
  <si>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</si>
  <si>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</si>
  <si>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</si>
  <si>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</si>
  <si>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</si>
  <si>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</si>
  <si>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</si>
  <si>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</si>
  <si>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</si>
  <si>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</si>
  <si>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</si>
  <si>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</si>
  <si>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</si>
  <si>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</si>
  <si>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</si>
  <si>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</si>
  <si>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</si>
  <si>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</si>
  <si>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</si>
  <si>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</si>
  <si>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</si>
  <si>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</si>
  <si>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</si>
  <si>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</si>
  <si>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</si>
  <si>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</si>
  <si>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</si>
  <si>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</si>
  <si>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</si>
  <si>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</si>
  <si>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</si>
  <si>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</si>
  <si>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</si>
  <si>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</si>
  <si>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</si>
  <si>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</si>
  <si>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</si>
  <si>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</si>
  <si>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</si>
  <si>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</si>
  <si>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</si>
  <si>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</si>
  <si>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</si>
  <si>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</si>
  <si>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</si>
  <si>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</si>
  <si>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</si>
  <si>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</si>
  <si>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</si>
  <si>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</si>
  <si>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</si>
  <si>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</si>
  <si>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</si>
  <si>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</si>
  <si>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</si>
  <si>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</si>
  <si>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</si>
  <si>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</si>
  <si>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</si>
  <si>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</si>
  <si>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</si>
  <si>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</si>
  <si>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</si>
  <si>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</si>
  <si>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</si>
  <si>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</si>
  <si>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</si>
  <si>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</si>
  <si>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</si>
  <si>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</si>
  <si>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</si>
  <si>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</si>
  <si>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</si>
  <si>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</si>
  <si>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</si>
  <si>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</si>
  <si>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</si>
  <si>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</si>
  <si>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</si>
  <si>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</si>
  <si>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</si>
  <si>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</si>
  <si>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</si>
  <si>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</si>
  <si>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</si>
  <si>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</si>
  <si>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</si>
  <si>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</si>
  <si>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</si>
  <si>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</si>
  <si>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</si>
  <si>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</si>
  <si>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</si>
  <si>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</si>
  <si>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</si>
  <si>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</si>
  <si>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</si>
  <si>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</si>
  <si>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</si>
  <si>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</si>
  <si>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</si>
  <si>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</si>
  <si>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</si>
  <si>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</si>
  <si>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</si>
  <si>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</si>
  <si>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</si>
  <si>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</si>
  <si>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</si>
  <si>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</si>
  <si>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</si>
  <si>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</si>
  <si>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</si>
  <si>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</si>
  <si>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</si>
  <si>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</si>
  <si>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</si>
  <si>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</si>
  <si>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</si>
  <si>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</si>
  <si>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</si>
  <si>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</si>
  <si>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</si>
  <si>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</si>
  <si>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</si>
  <si>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</si>
  <si>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</si>
  <si>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</si>
  <si>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</si>
  <si>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</si>
  <si>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</si>
  <si>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</si>
  <si>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</si>
  <si>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</si>
  <si>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</si>
  <si>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</si>
  <si>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</si>
  <si>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</si>
  <si>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</si>
  <si>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</si>
  <si>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</si>
  <si>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</si>
  <si>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</si>
  <si>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</si>
  <si>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</si>
  <si>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</si>
  <si>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</si>
  <si>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</si>
  <si>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</si>
  <si>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</si>
  <si>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</si>
  <si>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</si>
  <si>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</si>
  <si>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</si>
  <si>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</si>
  <si>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</si>
  <si>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</si>
  <si>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</si>
  <si>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</si>
  <si>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</si>
  <si>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</si>
  <si>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</si>
  <si>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</si>
  <si>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</si>
  <si>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</si>
  <si>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</si>
  <si>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</si>
  <si>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</si>
  <si>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</si>
  <si>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</si>
  <si>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</si>
  <si>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</si>
  <si>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</si>
  <si>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</si>
  <si>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</si>
  <si>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</si>
  <si>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</si>
  <si>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</si>
  <si>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</si>
  <si>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</si>
  <si>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</si>
  <si>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</si>
  <si>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</si>
  <si>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</si>
  <si>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</si>
  <si>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</si>
  <si>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</si>
  <si>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</si>
  <si>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</si>
  <si>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</si>
  <si>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</si>
  <si>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</si>
  <si>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</si>
  <si>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</si>
  <si>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</si>
  <si>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</si>
  <si>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</si>
  <si>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</si>
  <si>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</si>
  <si>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</si>
  <si>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</si>
  <si>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</si>
  <si>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</si>
  <si>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</si>
  <si>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</si>
  <si>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</si>
  <si>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</si>
  <si>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</si>
  <si>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</si>
  <si>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</si>
  <si>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</si>
  <si>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</si>
  <si>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</si>
  <si>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</si>
  <si>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</si>
  <si>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</si>
  <si>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</si>
  <si>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</si>
  <si>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</si>
  <si>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</si>
  <si>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</si>
  <si>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</si>
  <si>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</si>
  <si>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</si>
  <si>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</si>
  <si>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</si>
  <si>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</si>
  <si>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</si>
  <si>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</si>
  <si>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</si>
  <si>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</si>
  <si>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</si>
  <si>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</si>
  <si>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</si>
  <si>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</si>
  <si>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</si>
  <si>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</si>
  <si>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</si>
  <si>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</si>
  <si>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</si>
  <si>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</si>
  <si>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</si>
  <si>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</si>
  <si>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</si>
  <si>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</si>
  <si>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</si>
  <si>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</si>
  <si>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</si>
  <si>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</si>
  <si>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</si>
  <si>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</si>
  <si>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</si>
  <si>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</si>
  <si>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</si>
  <si>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</si>
  <si>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</si>
  <si>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</si>
  <si>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</si>
  <si>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</si>
  <si>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</si>
  <si>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</si>
  <si>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</si>
  <si>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</si>
  <si>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</si>
  <si>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</si>
  <si>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</si>
  <si>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</si>
  <si>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</si>
  <si>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</si>
  <si>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</si>
  <si>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</si>
  <si>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</si>
  <si>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</si>
  <si>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</si>
  <si>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</si>
  <si>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</si>
  <si>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</si>
  <si>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</si>
  <si>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</si>
  <si>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</si>
  <si>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</si>
  <si>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</si>
  <si>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</si>
  <si>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</si>
  <si>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</si>
  <si>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</si>
  <si>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</si>
  <si>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</si>
  <si>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</si>
  <si>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</si>
  <si>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</si>
  <si>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</si>
  <si>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</si>
  <si>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</si>
  <si>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</si>
  <si>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</si>
  <si>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</si>
  <si>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</si>
  <si>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</si>
  <si>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</si>
  <si>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</si>
  <si>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</si>
  <si>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</si>
  <si>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</si>
  <si>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</si>
  <si>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</si>
  <si>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</si>
  <si>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</si>
  <si>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</si>
  <si>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</si>
  <si>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</si>
  <si>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</si>
  <si>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</si>
  <si>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</si>
  <si>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</si>
  <si>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</si>
  <si>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</si>
  <si>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</si>
  <si>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</si>
  <si>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</si>
  <si>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</si>
  <si>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</si>
  <si>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</si>
  <si>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</si>
  <si>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</si>
  <si>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</si>
  <si>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</si>
  <si>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</si>
  <si>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</si>
  <si>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</si>
  <si>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</si>
  <si>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</si>
  <si>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</si>
  <si>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</si>
  <si>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</si>
  <si>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</si>
  <si>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</si>
  <si>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</si>
  <si>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</si>
  <si>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</si>
  <si>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</si>
  <si>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</si>
  <si>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</si>
  <si>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</si>
  <si>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</si>
  <si>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</si>
  <si>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</si>
  <si>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</si>
  <si>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</si>
  <si>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</si>
  <si>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</si>
  <si>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</si>
  <si>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</si>
  <si>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</si>
  <si>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</si>
  <si>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</si>
  <si>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</si>
  <si>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</si>
  <si>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</si>
  <si>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</si>
  <si>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</si>
  <si>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</si>
  <si>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</si>
  <si>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</si>
  <si>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</si>
  <si>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</si>
  <si>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</si>
  <si>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</si>
  <si>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</si>
  <si>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</si>
  <si>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</si>
  <si>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</si>
  <si>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</si>
  <si>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</si>
  <si>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</si>
  <si>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</si>
  <si>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</si>
  <si>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</si>
  <si>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</si>
  <si>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</si>
  <si>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</si>
  <si>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</si>
  <si>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</si>
  <si>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</si>
  <si>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</si>
  <si>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</si>
  <si>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</si>
  <si>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</si>
  <si>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</si>
  <si>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</si>
  <si>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</si>
  <si>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</si>
  <si>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</si>
  <si>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</si>
  <si>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</si>
  <si>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</si>
  <si>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</si>
  <si>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</si>
  <si>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</si>
  <si>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</si>
  <si>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</si>
  <si>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</si>
  <si>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</si>
  <si>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</si>
  <si>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</si>
  <si>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</si>
  <si>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</si>
  <si>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</si>
  <si>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</si>
  <si>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</si>
  <si>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</si>
  <si>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</si>
  <si>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</si>
  <si>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</si>
  <si>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</si>
  <si>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</si>
  <si>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</si>
  <si>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</si>
  <si>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</si>
  <si>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</si>
  <si>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</si>
  <si>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</si>
  <si>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</si>
  <si>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</si>
  <si>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</si>
  <si>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</si>
  <si>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</si>
  <si>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</si>
  <si>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</si>
  <si>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</si>
  <si>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</si>
  <si>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</si>
  <si>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</si>
  <si>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</si>
  <si>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</si>
  <si>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</si>
  <si>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</si>
  <si>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</si>
  <si>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</si>
  <si>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</si>
  <si>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</si>
  <si>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</si>
  <si>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</si>
  <si>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</si>
  <si>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</si>
  <si>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</si>
  <si>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</si>
  <si>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</si>
  <si>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</si>
  <si>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</si>
  <si>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</si>
  <si>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</si>
  <si>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</si>
  <si>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</si>
  <si>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</si>
  <si>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</si>
  <si>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</si>
  <si>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</si>
  <si>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</si>
  <si>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</si>
  <si>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</si>
  <si>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</si>
  <si>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</si>
  <si>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</si>
  <si>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</si>
  <si>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</si>
  <si>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</si>
  <si>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</si>
  <si>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</si>
  <si>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</si>
  <si>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</si>
  <si>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</si>
  <si>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</si>
  <si>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</si>
  <si>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</si>
  <si>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</si>
  <si>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</si>
  <si>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</si>
  <si>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</si>
  <si>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</si>
  <si>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</si>
  <si>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</si>
  <si>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</si>
  <si>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</si>
  <si>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</si>
  <si>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</si>
  <si>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</si>
  <si>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</si>
  <si>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</si>
  <si>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</si>
  <si>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</si>
  <si>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</si>
  <si>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</si>
  <si>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</si>
  <si>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</si>
  <si>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</si>
  <si>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</si>
  <si>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</si>
  <si>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</si>
  <si>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</si>
  <si>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</si>
  <si>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</si>
  <si>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</si>
  <si>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</si>
  <si>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</si>
  <si>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</si>
  <si>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</si>
  <si>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</si>
  <si>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</si>
  <si>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</si>
  <si>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</si>
  <si>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</si>
  <si>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</si>
  <si>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</si>
  <si>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</si>
  <si>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</si>
  <si>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</si>
  <si>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</si>
  <si>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</si>
  <si>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</si>
  <si>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</si>
  <si>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</si>
  <si>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</si>
  <si>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</si>
  <si>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</si>
  <si>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</si>
  <si>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</si>
  <si>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</si>
  <si>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</si>
  <si>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</si>
  <si>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</si>
  <si>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</si>
  <si>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</si>
  <si>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</si>
  <si>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</si>
  <si>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</si>
  <si>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</si>
  <si>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</si>
  <si>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</si>
  <si>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</si>
  <si>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</si>
  <si>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</si>
  <si>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</si>
  <si>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</si>
  <si>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</si>
  <si>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</si>
  <si>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</si>
  <si>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</si>
  <si>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</si>
  <si>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</si>
  <si>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</si>
  <si>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</si>
  <si>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</si>
  <si>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</si>
  <si>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</si>
  <si>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</si>
  <si>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</si>
  <si>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</si>
  <si>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</si>
  <si>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</si>
  <si>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</si>
  <si>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</si>
  <si>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</si>
  <si>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</si>
  <si>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</si>
  <si>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</si>
  <si>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</si>
  <si>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</si>
  <si>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</si>
  <si>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</si>
  <si>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</si>
  <si>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</si>
  <si>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</si>
  <si>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</si>
  <si>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</si>
  <si>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</si>
  <si>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</si>
  <si>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</si>
  <si>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</si>
  <si>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</si>
  <si>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</si>
  <si>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</si>
  <si>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</si>
  <si>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</si>
  <si>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</si>
  <si>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</si>
  <si>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</si>
  <si>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</si>
  <si>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</si>
  <si>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</si>
  <si>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</si>
  <si>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</si>
  <si>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</si>
  <si>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</si>
  <si>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</si>
  <si>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</si>
  <si>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</si>
  <si>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</si>
  <si>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</si>
  <si>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</si>
  <si>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</si>
  <si>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</si>
  <si>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</si>
  <si>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</si>
  <si>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</si>
  <si>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</si>
  <si>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</si>
  <si>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</si>
  <si>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</si>
  <si>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</si>
  <si>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</si>
  <si>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</si>
  <si>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</si>
  <si>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</si>
  <si>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</si>
  <si>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</si>
  <si>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</si>
  <si>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</si>
  <si>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</si>
  <si>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</si>
  <si>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</si>
  <si>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</si>
  <si>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</si>
  <si>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</si>
  <si>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</si>
  <si>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</si>
  <si>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</si>
  <si>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</si>
  <si>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</si>
  <si>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</si>
  <si>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</si>
  <si>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</si>
  <si>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</si>
  <si>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</si>
  <si>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</si>
  <si>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</si>
  <si>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</si>
  <si>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</si>
  <si>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</si>
  <si>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</si>
  <si>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</si>
  <si>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</si>
  <si>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</si>
  <si>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</si>
  <si>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</si>
  <si>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</si>
  <si>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</si>
  <si>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</si>
  <si>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</si>
  <si>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</si>
  <si>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</si>
  <si>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</si>
  <si>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</si>
  <si>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</si>
  <si>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</si>
  <si>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</si>
  <si>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</si>
  <si>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</si>
  <si>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</si>
  <si>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</si>
  <si>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</si>
  <si>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</si>
  <si>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</si>
  <si>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</si>
  <si>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</si>
  <si>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</si>
  <si>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</si>
  <si>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</si>
  <si>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</si>
  <si>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</si>
  <si>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</si>
  <si>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</si>
  <si>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</si>
  <si>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</si>
  <si>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</si>
  <si>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</si>
  <si>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</si>
  <si>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</si>
  <si>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</si>
  <si>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</si>
  <si>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</si>
  <si>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</si>
  <si>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</si>
  <si>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</si>
  <si>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</si>
  <si>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</si>
  <si>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</si>
  <si>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</si>
  <si>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</si>
  <si>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</si>
  <si>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</si>
  <si>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</si>
  <si>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</si>
  <si>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</si>
  <si>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</si>
  <si>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</si>
  <si>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</si>
  <si>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</si>
  <si>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</si>
  <si>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</si>
  <si>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</si>
  <si>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</si>
  <si>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</si>
  <si>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</si>
  <si>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</si>
  <si>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</si>
  <si>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</si>
  <si>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</si>
  <si>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</si>
  <si>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</si>
  <si>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</si>
  <si>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</si>
  <si>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</si>
  <si>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</si>
  <si>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</si>
  <si>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</si>
  <si>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</si>
  <si>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</si>
  <si>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</si>
  <si>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</si>
  <si>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</si>
  <si>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</si>
  <si>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</si>
  <si>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</si>
  <si>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</si>
  <si>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</si>
  <si>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</si>
  <si>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</si>
  <si>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</si>
  <si>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</si>
  <si>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</si>
  <si>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</si>
  <si>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</si>
  <si>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</si>
  <si>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</si>
  <si>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</si>
  <si>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</si>
  <si>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</si>
  <si>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</si>
  <si>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</si>
  <si>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</si>
  <si>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</si>
  <si>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</si>
  <si>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</si>
  <si>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</si>
  <si>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</si>
  <si>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</si>
  <si>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</si>
  <si>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</si>
  <si>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</si>
  <si>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</si>
  <si>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</si>
  <si>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</si>
  <si>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</si>
  <si>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</si>
  <si>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</si>
  <si>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</si>
  <si>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</si>
  <si>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</si>
  <si>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</si>
  <si>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</si>
  <si>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</si>
  <si>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</si>
  <si>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</si>
  <si>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</si>
  <si>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</si>
  <si>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</si>
  <si>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</si>
  <si>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</si>
  <si>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</si>
  <si>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</si>
  <si>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</si>
  <si>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</si>
  <si>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</si>
  <si>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</si>
  <si>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</si>
  <si>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</si>
  <si>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</si>
  <si>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</si>
  <si>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</si>
  <si>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</si>
  <si>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</si>
  <si>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</si>
  <si>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</si>
  <si>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</si>
  <si>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</si>
  <si>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</si>
  <si>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</si>
  <si>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</si>
  <si>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</si>
  <si>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</si>
  <si>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</si>
  <si>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</si>
  <si>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</si>
  <si>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</si>
  <si>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</si>
  <si>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</si>
  <si>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</si>
  <si>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</si>
  <si>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</si>
  <si>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</si>
  <si>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</si>
  <si>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</si>
  <si>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</si>
  <si>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</si>
  <si>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</si>
  <si>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</si>
  <si>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</si>
  <si>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</si>
  <si>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</si>
  <si>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</si>
  <si>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</si>
  <si>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</si>
  <si>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</si>
  <si>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</si>
  <si>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</si>
  <si>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</si>
  <si>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</si>
  <si>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</si>
  <si>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</si>
  <si>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</si>
  <si>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</si>
  <si>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</si>
  <si>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</si>
  <si>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</si>
  <si>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</si>
  <si>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</si>
  <si>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</si>
  <si>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</si>
  <si>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</si>
  <si>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</si>
  <si>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</si>
  <si>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</si>
  <si>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</si>
  <si>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</si>
  <si>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</si>
  <si>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</si>
  <si>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</si>
  <si>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</si>
  <si>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</si>
  <si>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</si>
  <si>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</si>
  <si>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</si>
  <si>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</si>
  <si>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</si>
  <si>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</si>
  <si>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</si>
  <si>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</si>
  <si>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</si>
  <si>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</si>
  <si>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</si>
  <si>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</si>
  <si>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</si>
  <si>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</si>
  <si>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</si>
  <si>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</si>
  <si>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</si>
  <si>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</si>
  <si>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</si>
  <si>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</si>
  <si>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</si>
  <si>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</si>
  <si>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</si>
  <si>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</si>
  <si>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</si>
  <si>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</si>
  <si>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</si>
  <si>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</si>
  <si>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</si>
  <si>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</si>
  <si>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</si>
  <si>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</si>
  <si>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</si>
  <si>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</si>
  <si>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</si>
  <si>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</si>
  <si>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</si>
  <si>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</si>
  <si>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</si>
  <si>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</si>
  <si>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</si>
  <si>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</si>
  <si>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</si>
  <si>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</si>
  <si>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</si>
  <si>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</si>
  <si>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</si>
  <si>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</si>
  <si>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</si>
  <si>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</si>
  <si>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</si>
  <si>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</si>
  <si>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</si>
  <si>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</si>
  <si>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</si>
  <si>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</si>
  <si>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</si>
  <si>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</si>
  <si>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</si>
  <si>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</si>
  <si>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</si>
  <si>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</si>
  <si>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</si>
  <si>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</si>
  <si>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</si>
  <si>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</si>
  <si>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</si>
  <si>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</si>
  <si>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</si>
  <si>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</si>
  <si>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</si>
  <si>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</si>
  <si>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</si>
  <si>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</si>
  <si>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</si>
  <si>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</si>
  <si>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</si>
  <si>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</si>
  <si>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</si>
  <si>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</si>
  <si>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</si>
  <si>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</si>
  <si>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</si>
  <si>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</si>
  <si>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</si>
  <si>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</si>
  <si>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</si>
  <si>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</si>
  <si>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</si>
  <si>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</si>
  <si>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</si>
  <si>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</si>
  <si>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</si>
  <si>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</si>
  <si>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</si>
  <si>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</si>
  <si>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</si>
  <si>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</si>
  <si>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</si>
  <si>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</si>
  <si>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</si>
  <si>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</si>
  <si>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</si>
  <si>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</si>
  <si>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</si>
  <si>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</si>
  <si>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</si>
  <si>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</si>
  <si>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</si>
  <si>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</si>
  <si>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</si>
  <si>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</si>
  <si>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</si>
  <si>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</si>
  <si>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</si>
  <si>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</si>
  <si>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</si>
  <si>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</si>
  <si>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</si>
  <si>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</si>
  <si>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</si>
  <si>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</si>
  <si>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</si>
  <si>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</si>
  <si>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</si>
  <si>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</si>
  <si>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</si>
  <si>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</si>
  <si>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</si>
  <si>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</si>
  <si>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</si>
  <si>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</si>
  <si>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</si>
  <si>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</si>
  <si>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</si>
  <si>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</si>
  <si>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</si>
  <si>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</si>
  <si>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</si>
  <si>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</si>
  <si>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</si>
  <si>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</si>
  <si>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</si>
  <si>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</si>
  <si>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</si>
  <si>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</si>
  <si>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</si>
  <si>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</si>
  <si>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</si>
  <si>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</si>
  <si>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</si>
  <si>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</si>
  <si>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</si>
  <si>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</si>
  <si>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</si>
  <si>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</si>
  <si>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</si>
  <si>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</si>
  <si>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</si>
  <si>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</si>
  <si>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</si>
  <si>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</si>
  <si>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</si>
  <si>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</si>
  <si>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</si>
  <si>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</si>
  <si>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</si>
  <si>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</si>
  <si>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</si>
  <si>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</si>
  <si>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</si>
  <si>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</si>
  <si>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</si>
  <si>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</si>
  <si>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</si>
  <si>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</si>
  <si>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</si>
  <si>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</si>
  <si>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</si>
  <si>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</si>
  <si>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</si>
  <si>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</si>
  <si>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</si>
  <si>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</si>
  <si>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</si>
  <si>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</si>
  <si>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</si>
  <si>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</si>
  <si>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</si>
  <si>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</si>
  <si>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</si>
  <si>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</si>
  <si>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</si>
  <si>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</si>
  <si>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</si>
  <si>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</si>
  <si>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</si>
  <si>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</si>
  <si>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</si>
  <si>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</si>
  <si>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</si>
  <si>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</si>
  <si>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</si>
  <si>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</si>
  <si>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</si>
  <si>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</si>
  <si>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</si>
  <si>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</si>
  <si>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</si>
  <si>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</si>
  <si>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</si>
  <si>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</si>
  <si>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</si>
  <si>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</si>
  <si>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</si>
  <si>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</si>
  <si>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</si>
  <si>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</si>
  <si>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</si>
  <si>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</si>
  <si>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</si>
  <si>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</si>
  <si>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</si>
  <si>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</si>
  <si>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</si>
  <si>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</si>
  <si>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</si>
  <si>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</si>
  <si>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</si>
  <si>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</si>
  <si>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</si>
  <si>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</si>
  <si>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</si>
  <si>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</si>
  <si>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</si>
  <si>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</si>
  <si>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</si>
  <si>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</si>
  <si>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</si>
  <si>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</si>
  <si>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</si>
  <si>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</si>
  <si>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</si>
  <si>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</si>
  <si>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</si>
  <si>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</si>
  <si>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</si>
  <si>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</si>
  <si>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</si>
  <si>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</si>
  <si>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</si>
  <si>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</si>
  <si>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</si>
  <si>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</si>
  <si>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</si>
  <si>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</si>
  <si>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</si>
  <si>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</si>
  <si>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</si>
  <si>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</si>
  <si>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</si>
  <si>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</si>
  <si>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</si>
  <si>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</si>
  <si>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</si>
  <si>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</si>
  <si>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</si>
  <si>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</si>
  <si>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</si>
  <si>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</si>
  <si>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</si>
  <si>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</si>
  <si>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</si>
  <si>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</si>
  <si>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</si>
  <si>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</si>
  <si>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</si>
  <si>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</si>
  <si>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</si>
  <si>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</si>
  <si>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</si>
  <si>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</si>
  <si>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</si>
  <si>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</si>
  <si>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</si>
  <si>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</si>
  <si>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</si>
  <si>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</si>
  <si>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</si>
  <si>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</si>
  <si>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</si>
  <si>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</si>
  <si>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</si>
  <si>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</si>
  <si>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</si>
  <si>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</si>
  <si>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</si>
  <si>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</si>
  <si>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</si>
  <si>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</si>
  <si>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</si>
  <si>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</si>
  <si>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</si>
  <si>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</si>
  <si>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</si>
  <si>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</si>
  <si>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</si>
  <si>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</si>
  <si>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</si>
  <si>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</si>
  <si>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</si>
  <si>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</si>
  <si>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</si>
  <si>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</si>
  <si>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</si>
  <si>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</si>
  <si>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</si>
  <si>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</si>
  <si>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</si>
  <si>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</si>
  <si>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</si>
  <si>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</si>
  <si>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</si>
  <si>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</si>
  <si>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</si>
  <si>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</si>
  <si>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</si>
  <si>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</si>
  <si>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</si>
  <si>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</si>
  <si>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</si>
  <si>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</si>
  <si>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</si>
  <si>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</si>
  <si>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</si>
  <si>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</si>
  <si>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</si>
  <si>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</si>
  <si>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</si>
  <si>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</si>
  <si>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</si>
  <si>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</si>
  <si>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</si>
  <si>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</si>
  <si>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</si>
  <si>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</si>
  <si>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</si>
  <si>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</si>
  <si>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</si>
  <si>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</si>
  <si>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</si>
  <si>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</si>
  <si>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</si>
  <si>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</si>
  <si>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</si>
  <si>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</si>
  <si>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</si>
  <si>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</si>
  <si>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</si>
  <si>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</si>
  <si>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</si>
  <si>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</si>
  <si>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</si>
  <si>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</si>
  <si>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</si>
  <si>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</si>
  <si>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</si>
  <si>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</si>
  <si>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</si>
  <si>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</si>
  <si>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</si>
  <si>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</si>
  <si>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</si>
  <si>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</si>
  <si>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</si>
  <si>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</si>
  <si>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</si>
  <si>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</si>
  <si>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</si>
  <si>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</si>
  <si>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</si>
  <si>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</si>
  <si>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</si>
  <si>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</si>
  <si>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</si>
  <si>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</si>
  <si>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</si>
  <si>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</si>
  <si>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</si>
  <si>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</si>
  <si>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</si>
  <si>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</si>
  <si>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</si>
  <si>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</si>
  <si>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</si>
  <si>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</si>
  <si>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</si>
  <si>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</si>
  <si>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</si>
  <si>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</si>
  <si>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</si>
  <si>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</si>
  <si>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</si>
  <si>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</si>
  <si>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</si>
  <si>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</si>
  <si>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</si>
  <si>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</si>
  <si>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</si>
  <si>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</si>
  <si>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</si>
  <si>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</si>
  <si>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</si>
  <si>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</si>
  <si>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</si>
  <si>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</si>
  <si>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</si>
  <si>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</si>
  <si>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</si>
  <si>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</si>
  <si>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</si>
  <si>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</si>
  <si>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</si>
  <si>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</si>
  <si>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</si>
  <si>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</si>
  <si>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</si>
  <si>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</si>
  <si>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</si>
  <si>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</si>
  <si>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</si>
  <si>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</si>
  <si>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</si>
  <si>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</si>
  <si>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</si>
  <si>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</si>
  <si>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</si>
  <si>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</si>
  <si>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</si>
  <si>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</si>
  <si>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</si>
  <si>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</si>
  <si>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</si>
  <si>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</si>
  <si>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</si>
  <si>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</si>
  <si>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</si>
  <si>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</si>
  <si>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</si>
  <si>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</si>
  <si>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</si>
  <si>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</si>
  <si>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</si>
  <si>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</si>
  <si>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</si>
  <si>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</si>
  <si>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</si>
  <si>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</si>
  <si>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</si>
  <si>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</si>
  <si>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</si>
  <si>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</si>
  <si>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</si>
  <si>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</si>
  <si>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</si>
  <si>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</si>
  <si>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</si>
  <si>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</si>
  <si>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</si>
  <si>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</si>
  <si>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</si>
  <si>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</si>
  <si>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</si>
  <si>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</si>
  <si>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</si>
  <si>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</si>
  <si>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</si>
  <si>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</si>
  <si>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</si>
  <si>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</si>
  <si>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</si>
  <si>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</si>
  <si>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</si>
  <si>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</si>
  <si>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</si>
  <si>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</si>
  <si>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</si>
  <si>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</si>
  <si>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</si>
  <si>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</si>
  <si>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</si>
  <si>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</si>
  <si>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</si>
  <si>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</si>
  <si>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</si>
  <si>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</si>
  <si>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</si>
  <si>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</si>
  <si>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</si>
  <si>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</si>
  <si>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</si>
  <si>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</si>
  <si>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</si>
  <si>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</si>
  <si>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</si>
  <si>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</si>
  <si>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</si>
  <si>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</si>
  <si>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</si>
  <si>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</si>
  <si>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</si>
  <si>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</si>
  <si>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</si>
  <si>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</si>
  <si>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</si>
  <si>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</si>
  <si>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</si>
  <si>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</si>
  <si>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</si>
  <si>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</si>
  <si>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</si>
  <si>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</si>
  <si>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</si>
  <si>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</si>
  <si>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</si>
  <si>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</si>
  <si>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</si>
  <si>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</si>
  <si>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</si>
  <si>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</si>
  <si>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</si>
  <si>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</si>
  <si>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</si>
  <si>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</si>
  <si>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</si>
  <si>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</si>
  <si>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</si>
  <si>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</si>
  <si>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</si>
  <si>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</si>
  <si>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</si>
  <si>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</si>
  <si>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</si>
  <si>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</si>
  <si>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</si>
  <si>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</si>
  <si>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</si>
  <si>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</si>
  <si>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</si>
  <si>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</si>
  <si>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</si>
  <si>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</si>
  <si>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</si>
  <si>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</si>
  <si>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</si>
  <si>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</si>
  <si>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</si>
  <si>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</si>
  <si>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</si>
  <si>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</si>
  <si>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</si>
  <si>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</si>
  <si>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</si>
  <si>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</si>
  <si>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</si>
  <si>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</si>
  <si>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</si>
  <si>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</si>
  <si>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</si>
  <si>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</si>
  <si>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</si>
  <si>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</si>
  <si>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</si>
  <si>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</si>
  <si>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</si>
  <si>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</si>
  <si>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</si>
  <si>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</si>
  <si>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</si>
  <si>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</si>
  <si>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</si>
  <si>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</si>
  <si>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</si>
  <si>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</si>
  <si>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</si>
  <si>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</si>
  <si>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</si>
  <si>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</si>
  <si>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</si>
  <si>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</si>
  <si>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</si>
  <si>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</si>
  <si>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</si>
  <si>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</si>
  <si>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</si>
  <si>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</si>
  <si>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</si>
  <si>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</si>
  <si>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</si>
  <si>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</si>
  <si>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</si>
  <si>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</si>
  <si>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</si>
  <si>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</si>
  <si>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</si>
  <si>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</si>
  <si>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</si>
  <si>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</si>
  <si>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</si>
  <si>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</si>
  <si>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</si>
  <si>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</si>
  <si>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</si>
  <si>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</si>
  <si>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</si>
  <si>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</si>
  <si>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</si>
  <si>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</si>
  <si>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</si>
  <si>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</si>
  <si>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</si>
  <si>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</si>
  <si>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</si>
  <si>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</si>
  <si>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</si>
  <si>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</si>
  <si>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</si>
  <si>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</si>
  <si>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</si>
  <si>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</si>
  <si>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</si>
  <si>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</si>
  <si>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</si>
  <si>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</si>
  <si>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</si>
  <si>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</si>
  <si>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</si>
  <si>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</si>
  <si>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</si>
  <si>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</si>
  <si>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</si>
  <si>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</si>
  <si>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</si>
  <si>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</si>
  <si>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</si>
  <si>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</si>
  <si>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</si>
  <si>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</si>
  <si>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</si>
  <si>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</si>
  <si>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</si>
  <si>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</si>
  <si>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</si>
  <si>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</si>
  <si>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</si>
  <si>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</si>
  <si>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</si>
  <si>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</si>
  <si>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</si>
  <si>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</si>
  <si>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</si>
  <si>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</si>
  <si>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</si>
  <si>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</si>
  <si>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</si>
  <si>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</si>
  <si>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</si>
  <si>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</si>
  <si>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</si>
  <si>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</si>
  <si>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</si>
  <si>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</si>
  <si>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</si>
  <si>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</si>
  <si>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</si>
  <si>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</si>
  <si>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</si>
  <si>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</si>
  <si>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</si>
  <si>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</si>
  <si>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</si>
  <si>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</si>
  <si>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</si>
  <si>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</si>
  <si>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</si>
  <si>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</si>
  <si>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</si>
  <si>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</si>
  <si>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</si>
  <si>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</si>
  <si>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</si>
  <si>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</si>
  <si>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</si>
  <si>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</si>
  <si>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</si>
  <si>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</si>
  <si>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</si>
  <si>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</si>
  <si>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</si>
  <si>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</si>
  <si>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</si>
  <si>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</si>
  <si>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</si>
  <si>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</si>
  <si>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</si>
  <si>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</si>
  <si>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</si>
  <si>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</si>
  <si>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</si>
  <si>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</si>
  <si>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</si>
  <si>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</si>
  <si>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</si>
  <si>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</si>
  <si>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</si>
  <si>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</si>
  <si>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</si>
  <si>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</si>
  <si>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</si>
  <si>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</si>
  <si>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</si>
  <si>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</si>
  <si>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</si>
  <si>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</si>
  <si>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</si>
  <si>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</si>
  <si>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</si>
  <si>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</si>
  <si>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</si>
  <si>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</si>
  <si>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</si>
  <si>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</si>
  <si>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</si>
  <si>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</si>
  <si>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</si>
  <si>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</si>
  <si>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</si>
  <si>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</si>
  <si>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</si>
  <si>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</si>
  <si>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</si>
  <si>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</si>
  <si>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</si>
  <si>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</si>
  <si>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</si>
  <si>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</si>
  <si>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</si>
  <si>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</si>
  <si>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</si>
  <si>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</si>
  <si>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</si>
  <si>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</si>
  <si>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</si>
  <si>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</si>
  <si>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</si>
  <si>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</si>
  <si>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</si>
  <si>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</si>
  <si>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</si>
  <si>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</si>
  <si>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</si>
  <si>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</si>
  <si>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</si>
  <si>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</si>
  <si>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</si>
  <si>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</si>
  <si>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</si>
  <si>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</si>
  <si>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</si>
  <si>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</si>
  <si>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</si>
  <si>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</si>
  <si>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</si>
  <si>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</si>
  <si>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</si>
  <si>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</si>
  <si>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</si>
  <si>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</si>
  <si>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</si>
  <si>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</si>
  <si>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</si>
  <si>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</si>
  <si>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</si>
  <si>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</si>
  <si>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</si>
  <si>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</si>
  <si>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</si>
  <si>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</si>
  <si>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</si>
  <si>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</si>
  <si>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</si>
  <si>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</si>
  <si>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</si>
  <si>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</si>
  <si>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</si>
  <si>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</si>
  <si>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</si>
  <si>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</si>
  <si>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</si>
  <si>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</si>
  <si>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</si>
  <si>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</si>
  <si>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</si>
  <si>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</si>
  <si>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</si>
  <si>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</si>
  <si>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</si>
  <si>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</si>
  <si>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</si>
  <si>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</si>
  <si>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</si>
  <si>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</si>
  <si>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</si>
  <si>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</si>
  <si>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</si>
  <si>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</si>
  <si>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</si>
  <si>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</si>
  <si>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</si>
  <si>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</si>
  <si>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</si>
  <si>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</si>
  <si>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</si>
  <si>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</si>
  <si>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</si>
  <si>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</si>
  <si>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</si>
  <si>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</si>
  <si>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</si>
  <si>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</si>
  <si>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</si>
  <si>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</si>
  <si>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</si>
  <si>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</si>
  <si>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</si>
  <si>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</si>
  <si>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</si>
  <si>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</si>
  <si>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</si>
  <si>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</si>
  <si>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</si>
  <si>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</si>
  <si>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</si>
  <si>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</si>
  <si>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</si>
  <si>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</si>
  <si>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</si>
  <si>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</si>
  <si>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</si>
  <si>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</si>
  <si>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</si>
  <si>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</si>
  <si>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</si>
  <si>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</si>
  <si>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</si>
  <si>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</si>
  <si>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</si>
  <si>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</si>
  <si>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</si>
  <si>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</si>
  <si>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</si>
  <si>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</si>
  <si>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</si>
  <si>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</si>
  <si>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</si>
  <si>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</si>
  <si>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</si>
  <si>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</si>
  <si>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</si>
  <si>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</si>
  <si>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</si>
  <si>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</si>
  <si>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</si>
  <si>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</si>
  <si>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</si>
  <si>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</si>
  <si>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</si>
  <si>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</si>
  <si>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</si>
  <si>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</si>
  <si>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</si>
  <si>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</si>
  <si>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</si>
  <si>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</si>
  <si>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</si>
  <si>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</si>
  <si>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</si>
  <si>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</si>
  <si>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</si>
  <si>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</si>
  <si>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</si>
  <si>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</si>
  <si>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</si>
  <si>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</si>
  <si>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</si>
  <si>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</si>
  <si>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</si>
  <si>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</si>
  <si>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</si>
  <si>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</si>
  <si>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</si>
  <si>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</si>
  <si>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</si>
  <si>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</si>
  <si>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</si>
  <si>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</si>
  <si>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</si>
  <si>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</si>
  <si>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</si>
  <si>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</si>
  <si>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</si>
  <si>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</si>
  <si>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</si>
  <si>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</si>
  <si>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</si>
  <si>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</si>
  <si>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</si>
  <si>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</si>
  <si>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</si>
  <si>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</si>
  <si>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</si>
  <si>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</si>
  <si>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</si>
  <si>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</si>
  <si>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</si>
  <si>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</si>
  <si>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</si>
  <si>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</si>
  <si>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</si>
  <si>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</si>
  <si>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</si>
  <si>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</si>
  <si>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</si>
  <si>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</si>
  <si>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</si>
  <si>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</si>
  <si>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</si>
  <si>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</si>
  <si>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</si>
  <si>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</si>
  <si>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</si>
  <si>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</si>
  <si>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</si>
  <si>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</si>
  <si>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</si>
  <si>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</si>
  <si>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</si>
  <si>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</si>
  <si>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</si>
  <si>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</si>
  <si>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</si>
  <si>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</si>
  <si>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</si>
  <si>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</si>
  <si>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</si>
  <si>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</si>
  <si>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</si>
  <si>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</si>
  <si>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</si>
  <si>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</si>
  <si>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</si>
  <si>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</si>
  <si>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</si>
  <si>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</si>
  <si>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</si>
  <si>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</si>
  <si>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</si>
  <si>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</si>
  <si>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</si>
  <si>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</si>
  <si>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</si>
  <si>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</si>
  <si>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</si>
  <si>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</si>
  <si>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</si>
  <si>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</si>
  <si>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</si>
  <si>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</si>
  <si>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</si>
  <si>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</si>
  <si>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</si>
  <si>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</si>
  <si>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</si>
  <si>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</si>
  <si>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</si>
  <si>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</si>
  <si>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</si>
  <si>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</si>
  <si>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</si>
  <si>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</si>
  <si>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</si>
  <si>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</si>
  <si>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</si>
  <si>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</si>
  <si>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</si>
  <si>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</si>
  <si>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</si>
  <si>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</si>
  <si>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</si>
  <si>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</si>
  <si>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</si>
  <si>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</si>
  <si>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</si>
  <si>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</si>
  <si>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</si>
  <si>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</si>
  <si>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</si>
  <si>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</si>
  <si>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</si>
  <si>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</si>
  <si>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</si>
  <si>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</si>
  <si>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</si>
  <si>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</si>
  <si>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</si>
  <si>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</si>
  <si>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</si>
  <si>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</si>
  <si>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</si>
  <si>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</si>
  <si>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</si>
  <si>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</si>
  <si>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</si>
  <si>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</si>
  <si>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</si>
  <si>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</si>
  <si>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</si>
  <si>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</si>
  <si>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</si>
  <si>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</si>
  <si>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</si>
  <si>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</si>
  <si>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</si>
  <si>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</si>
  <si>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</si>
  <si>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</si>
  <si>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</si>
  <si>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</si>
  <si>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</si>
  <si>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</si>
  <si>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</si>
  <si>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</si>
  <si>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</si>
  <si>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</si>
  <si>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</si>
  <si>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</si>
  <si>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</si>
  <si>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</si>
  <si>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</si>
  <si>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</si>
  <si>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</si>
  <si>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</si>
  <si>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</si>
  <si>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</si>
  <si>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</si>
  <si>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</si>
  <si>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</si>
  <si>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</si>
  <si>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</si>
  <si>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</si>
  <si>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</si>
  <si>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</si>
  <si>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</si>
  <si>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</si>
  <si>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</si>
  <si>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</si>
  <si>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</si>
  <si>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</si>
  <si>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</si>
  <si>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</si>
  <si>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</si>
  <si>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</si>
  <si>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</si>
  <si>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</si>
  <si>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</si>
  <si>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</si>
  <si>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</si>
  <si>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</si>
  <si>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</si>
  <si>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</si>
  <si>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</si>
  <si>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</si>
  <si>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</si>
  <si>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</si>
  <si>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</si>
  <si>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</si>
  <si>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</si>
  <si>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</si>
  <si>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</si>
  <si>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</si>
  <si>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</si>
  <si>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</si>
  <si>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</si>
  <si>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</si>
  <si>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</si>
  <si>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</si>
  <si>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</si>
  <si>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</si>
  <si>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</si>
  <si>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</si>
  <si>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</si>
  <si>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</si>
  <si>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</si>
  <si>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</si>
  <si>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</si>
  <si>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</si>
  <si>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</si>
  <si>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</si>
  <si>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</si>
  <si>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</si>
  <si>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</si>
  <si>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</si>
  <si>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</si>
  <si>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</si>
  <si>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</si>
  <si>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</si>
  <si>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</si>
  <si>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</si>
  <si>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</si>
  <si>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</si>
  <si>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</si>
  <si>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</si>
  <si>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</si>
  <si>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</si>
  <si>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</si>
  <si>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</si>
  <si>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</si>
  <si>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</si>
  <si>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</si>
  <si>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</si>
  <si>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</si>
  <si>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</si>
  <si>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</si>
  <si>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</si>
  <si>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</si>
  <si>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</si>
  <si>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</si>
  <si>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</si>
  <si>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</si>
  <si>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</si>
  <si>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</si>
  <si>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</si>
  <si>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</si>
  <si>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</si>
  <si>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</si>
  <si>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</si>
  <si>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</si>
  <si>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</si>
  <si>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</si>
  <si>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</si>
  <si>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</si>
  <si>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</si>
  <si>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</si>
  <si>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</si>
  <si>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</si>
  <si>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</si>
  <si>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</si>
  <si>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</si>
  <si>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</si>
  <si>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</si>
  <si>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</si>
  <si>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</si>
  <si>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</si>
  <si>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</si>
  <si>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</si>
  <si>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</si>
  <si>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</si>
  <si>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</si>
  <si>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</si>
  <si>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</si>
  <si>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</si>
  <si>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</si>
  <si>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</si>
  <si>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</si>
  <si>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</si>
  <si>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</si>
  <si>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</si>
  <si>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</si>
  <si>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</si>
  <si>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</si>
  <si>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</si>
  <si>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</si>
  <si>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</si>
  <si>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</si>
  <si>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</si>
  <si>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</si>
  <si>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</si>
  <si>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</si>
  <si>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</si>
  <si>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</si>
  <si>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</si>
  <si>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</si>
  <si>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</si>
  <si>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</si>
  <si>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</si>
  <si>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</si>
  <si>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</si>
  <si>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</si>
  <si>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</si>
  <si>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</si>
  <si>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</si>
  <si>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</si>
  <si>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</si>
  <si>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</si>
  <si>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</si>
  <si>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</si>
  <si>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</si>
  <si>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</si>
  <si>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</si>
  <si>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</si>
  <si>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</si>
  <si>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</si>
  <si>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</si>
  <si>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</si>
  <si>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</si>
  <si>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</si>
  <si>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</si>
  <si>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</si>
  <si>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</si>
  <si>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</si>
  <si>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</si>
  <si>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</si>
  <si>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</si>
  <si>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</si>
  <si>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</si>
  <si>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</si>
  <si>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</si>
  <si>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</si>
  <si>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</si>
  <si>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</si>
  <si>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</si>
  <si>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</si>
  <si>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</si>
  <si>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</si>
  <si>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</si>
  <si>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</si>
  <si>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</si>
  <si>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</si>
  <si>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</si>
  <si>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</si>
  <si>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</si>
  <si>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</si>
  <si>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</si>
  <si>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</si>
  <si>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</si>
  <si>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</si>
  <si>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</si>
  <si>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</si>
  <si>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</si>
  <si>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</si>
  <si>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</si>
  <si>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</si>
  <si>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</si>
  <si>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</si>
  <si>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</si>
  <si>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</si>
  <si>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</si>
  <si>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</si>
  <si>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</si>
  <si>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</si>
  <si>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</si>
  <si>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</si>
  <si>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</si>
  <si>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</si>
  <si>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</si>
  <si>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</si>
  <si>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</si>
  <si>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</si>
  <si>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</si>
  <si>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</si>
  <si>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</si>
  <si>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</si>
  <si>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</si>
  <si>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</si>
  <si>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</si>
  <si>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</si>
  <si>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</si>
  <si>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</si>
  <si>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</si>
  <si>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</si>
  <si>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</si>
  <si>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</si>
  <si>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</si>
  <si>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</si>
  <si>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</si>
  <si>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</si>
  <si>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</si>
  <si>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</si>
  <si>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</si>
  <si>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</si>
  <si>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</si>
  <si>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</si>
  <si>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</si>
  <si>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</si>
  <si>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</si>
  <si>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</si>
  <si>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</si>
  <si>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</si>
  <si>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</si>
  <si>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</si>
  <si>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</si>
  <si>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</si>
  <si>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</si>
  <si>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</si>
  <si>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</si>
  <si>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</si>
  <si>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</si>
  <si>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</si>
  <si>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</si>
  <si>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</si>
  <si>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</si>
  <si>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</si>
  <si>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</si>
  <si>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</si>
  <si>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</si>
  <si>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</si>
  <si>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</si>
  <si>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</si>
  <si>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</si>
  <si>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</si>
  <si>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</si>
  <si>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</si>
  <si>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</si>
  <si>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</si>
  <si>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</si>
  <si>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</si>
  <si>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</si>
  <si>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</si>
  <si>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</si>
  <si>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</si>
  <si>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</si>
  <si>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</si>
  <si>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</si>
  <si>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</si>
  <si>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</si>
  <si>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</si>
  <si>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</si>
  <si>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</si>
  <si>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</si>
  <si>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</si>
  <si>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</si>
  <si>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</si>
  <si>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</si>
  <si>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</si>
  <si>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</si>
  <si>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</si>
  <si>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</si>
  <si>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</si>
  <si>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</si>
  <si>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</si>
  <si>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</si>
  <si>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</si>
  <si>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</si>
  <si>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</si>
  <si>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</si>
  <si>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</si>
  <si>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</si>
  <si>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</si>
  <si>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</si>
  <si>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</si>
  <si>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</si>
  <si>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</si>
  <si>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</si>
  <si>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</si>
  <si>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</si>
  <si>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</si>
  <si>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</si>
  <si>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</si>
  <si>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</si>
  <si>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</si>
  <si>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</si>
  <si>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</si>
  <si>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</si>
  <si>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</si>
  <si>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</si>
  <si>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</si>
  <si>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</si>
  <si>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</si>
  <si>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</si>
  <si>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</si>
  <si>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</si>
  <si>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</si>
  <si>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</si>
  <si>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</si>
  <si>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</si>
  <si>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</si>
  <si>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</si>
  <si>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</si>
  <si>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</si>
  <si>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</si>
  <si>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</si>
  <si>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</si>
  <si>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</si>
  <si>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</si>
  <si>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</si>
  <si>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</si>
  <si>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</si>
  <si>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</si>
  <si>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</si>
  <si>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</si>
  <si>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</si>
  <si>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</si>
  <si>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</si>
  <si>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</si>
  <si>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</si>
  <si>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</si>
  <si>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</si>
  <si>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</si>
  <si>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</si>
  <si>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</si>
  <si>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</si>
  <si>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</si>
  <si>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</si>
  <si>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</si>
  <si>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</si>
  <si>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</si>
  <si>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</si>
  <si>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</si>
  <si>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</si>
  <si>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</si>
  <si>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</si>
  <si>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</si>
  <si>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</si>
  <si>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</si>
  <si>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</si>
  <si>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</si>
  <si>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</si>
  <si>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</si>
  <si>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</si>
  <si>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</si>
  <si>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</si>
  <si>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</si>
  <si>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</si>
  <si>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</si>
  <si>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</si>
  <si>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</si>
  <si>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</si>
  <si>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</si>
  <si>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</si>
  <si>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</si>
  <si>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</si>
  <si>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</si>
  <si>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</si>
  <si>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</si>
  <si>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</si>
  <si>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</si>
  <si>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</si>
  <si>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</si>
  <si>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</si>
  <si>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</si>
  <si>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</si>
  <si>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</si>
  <si>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</si>
  <si>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</si>
  <si>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</si>
  <si>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</si>
  <si>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</si>
  <si>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</si>
  <si>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</si>
  <si>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</si>
  <si>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</si>
  <si>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</si>
  <si>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</si>
  <si>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</si>
  <si>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</si>
  <si>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</si>
  <si>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</si>
  <si>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</si>
  <si>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</si>
  <si>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</si>
  <si>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</si>
  <si>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</si>
  <si>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</si>
  <si>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</si>
  <si>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</si>
  <si>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</si>
  <si>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</si>
  <si>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</si>
  <si>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</si>
  <si>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</si>
  <si>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</si>
  <si>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</si>
  <si>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</si>
  <si>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</si>
  <si>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</si>
  <si>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</si>
  <si>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</si>
  <si>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</si>
  <si>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</si>
  <si>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</si>
  <si>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</si>
  <si>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</si>
  <si>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</si>
  <si>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</si>
  <si>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</si>
  <si>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</si>
  <si>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</si>
  <si>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</si>
  <si>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</si>
  <si>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</si>
  <si>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</si>
  <si>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</si>
  <si>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</si>
  <si>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</si>
  <si>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</si>
  <si>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</si>
  <si>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</si>
  <si>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</si>
  <si>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</si>
  <si>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</si>
  <si>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</si>
  <si>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</si>
  <si>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</si>
  <si>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</si>
  <si>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</si>
  <si>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</si>
  <si>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</si>
  <si>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</si>
  <si>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</si>
  <si>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</si>
  <si>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</si>
  <si>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</si>
  <si>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</si>
  <si>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</si>
  <si>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</si>
  <si>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</si>
  <si>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</si>
  <si>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</si>
  <si>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</si>
  <si>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</si>
  <si>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</si>
  <si>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</si>
  <si>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</si>
  <si>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</si>
  <si>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</si>
  <si>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</si>
  <si>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</si>
  <si>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</si>
  <si>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</si>
  <si>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</si>
  <si>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</si>
  <si>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</si>
  <si>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</si>
  <si>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</si>
  <si>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</si>
  <si>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</si>
  <si>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</si>
  <si>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</si>
  <si>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</si>
  <si>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</si>
  <si>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</si>
  <si>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</si>
  <si>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</si>
  <si>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</si>
  <si>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</si>
  <si>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</si>
  <si>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</si>
  <si>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</si>
  <si>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</si>
  <si>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</si>
  <si>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</si>
  <si>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</si>
  <si>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</si>
  <si>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</si>
  <si>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</si>
  <si>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</si>
  <si>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</si>
  <si>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</si>
  <si>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</si>
  <si>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</si>
  <si>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</si>
  <si>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</si>
  <si>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</si>
  <si>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</si>
  <si>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</si>
  <si>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</si>
  <si>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</si>
  <si>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</si>
  <si>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</si>
  <si>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</si>
  <si>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</si>
  <si>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</si>
  <si>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</si>
  <si>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</si>
  <si>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</si>
  <si>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</si>
  <si>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</si>
  <si>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</si>
  <si>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</si>
  <si>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</si>
  <si>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</si>
  <si>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</si>
  <si>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</si>
  <si>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</si>
  <si>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</si>
  <si>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</si>
  <si>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</si>
  <si>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</si>
  <si>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</si>
  <si>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</si>
  <si>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</si>
  <si>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</si>
  <si>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</si>
  <si>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</si>
  <si>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</si>
  <si>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</si>
  <si>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</si>
  <si>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</si>
  <si>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</si>
  <si>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</si>
  <si>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</si>
  <si>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</si>
  <si>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</si>
  <si>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</si>
  <si>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</si>
  <si>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</si>
  <si>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</si>
  <si>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</si>
  <si>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</si>
  <si>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</si>
  <si>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</si>
  <si>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</si>
  <si>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</si>
  <si>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</si>
  <si>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</si>
  <si>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</si>
  <si>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</si>
  <si>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</si>
  <si>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</si>
  <si>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</si>
  <si>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</si>
  <si>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</si>
  <si>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</si>
  <si>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</si>
  <si>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</si>
  <si>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</si>
  <si>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</si>
  <si>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</si>
  <si>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</si>
  <si>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</si>
  <si>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</si>
  <si>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</si>
  <si>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</si>
  <si>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</si>
  <si>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</si>
  <si>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</si>
  <si>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</si>
  <si>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</si>
  <si>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</si>
  <si>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</si>
  <si>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</si>
  <si>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</si>
  <si>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</si>
  <si>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</si>
  <si>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</si>
  <si>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</si>
  <si>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</si>
  <si>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</si>
  <si>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</si>
  <si>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</si>
  <si>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</si>
  <si>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</si>
  <si>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</si>
  <si>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</si>
  <si>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</si>
  <si>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</si>
  <si>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</si>
  <si>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</si>
  <si>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</si>
  <si>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</si>
  <si>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</si>
  <si>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</si>
  <si>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</si>
  <si>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</si>
  <si>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</si>
  <si>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</si>
  <si>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</si>
  <si>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</si>
  <si>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</si>
  <si>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</si>
  <si>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</si>
  <si>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</si>
  <si>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</si>
  <si>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</si>
  <si>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</si>
  <si>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</si>
  <si>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</si>
  <si>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</si>
  <si>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</si>
  <si>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</si>
  <si>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</si>
  <si>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</si>
  <si>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</si>
  <si>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</si>
  <si>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</si>
  <si>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</si>
  <si>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</si>
  <si>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</si>
  <si>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</si>
  <si>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</si>
  <si>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</si>
  <si>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</si>
  <si>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</si>
  <si>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</si>
  <si>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</si>
  <si>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</si>
  <si>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</si>
  <si>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</si>
  <si>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</si>
  <si>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</si>
  <si>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</si>
  <si>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</si>
  <si>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</si>
  <si>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</si>
  <si>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</si>
  <si>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</si>
  <si>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</si>
  <si>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</si>
  <si>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</si>
  <si>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</si>
  <si>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</si>
  <si>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</si>
  <si>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</si>
  <si>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</si>
  <si>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</si>
  <si>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</si>
  <si>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</si>
  <si>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</si>
  <si>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</si>
  <si>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</si>
  <si>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</si>
  <si>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</si>
  <si>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</si>
  <si>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</si>
  <si>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</si>
  <si>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</si>
  <si>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</si>
  <si>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</si>
  <si>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</si>
  <si>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</si>
  <si>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</si>
  <si>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</si>
  <si>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</si>
  <si>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</si>
  <si>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</si>
  <si>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</si>
  <si>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</si>
  <si>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</si>
  <si>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</si>
  <si>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</si>
  <si>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</si>
  <si>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</si>
  <si>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</si>
  <si>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</si>
  <si>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</si>
  <si>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</si>
  <si>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</si>
  <si>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</si>
  <si>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</si>
  <si>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</si>
  <si>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</si>
  <si>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</si>
  <si>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</si>
  <si>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</si>
  <si>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</si>
  <si>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</si>
  <si>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</si>
  <si>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</si>
  <si>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</si>
  <si>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</si>
  <si>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</si>
  <si>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</si>
  <si>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</si>
  <si>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</si>
  <si>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</si>
  <si>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</si>
  <si>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</si>
  <si>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</si>
  <si>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</si>
  <si>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</si>
  <si>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</si>
  <si>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</si>
  <si>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</si>
  <si>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</si>
  <si>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</si>
  <si>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</si>
  <si>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</si>
  <si>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</si>
  <si>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</si>
  <si>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</si>
  <si>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</si>
  <si>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</si>
  <si>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</si>
  <si>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</si>
  <si>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</si>
  <si>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</si>
  <si>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</si>
  <si>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</si>
  <si>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</si>
  <si>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</si>
  <si>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</si>
  <si>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</si>
  <si>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</si>
  <si>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</si>
  <si>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</si>
  <si>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</si>
  <si>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</si>
  <si>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</si>
  <si>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</si>
  <si>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</si>
  <si>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</si>
  <si>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</si>
  <si>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</si>
  <si>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</si>
  <si>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</si>
  <si>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</si>
  <si>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</si>
  <si>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</si>
  <si>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</si>
  <si>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</si>
  <si>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</si>
  <si>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</si>
  <si>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</si>
  <si>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</si>
  <si>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</si>
  <si>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</si>
  <si>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</si>
  <si>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</si>
  <si>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</si>
  <si>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</si>
  <si>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</si>
  <si>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</si>
  <si>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</si>
  <si>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</si>
  <si>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</si>
  <si>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</si>
  <si>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</si>
  <si>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</si>
  <si>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</si>
  <si>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</si>
  <si>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</si>
  <si>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</si>
  <si>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</si>
  <si>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</si>
  <si>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</si>
  <si>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</si>
  <si>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</si>
  <si>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</si>
  <si>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</si>
  <si>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</si>
  <si>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</si>
  <si>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</si>
  <si>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</si>
  <si>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</si>
  <si>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</si>
  <si>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</si>
  <si>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</si>
  <si>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</si>
  <si>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</si>
  <si>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</si>
  <si>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</si>
  <si>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</si>
  <si>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</si>
  <si>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</si>
  <si>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</si>
  <si>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</si>
  <si>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</si>
  <si>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</si>
  <si>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</si>
  <si>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</si>
  <si>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</si>
  <si>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</si>
  <si>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</si>
  <si>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</si>
  <si>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</si>
  <si>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</si>
  <si>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</si>
  <si>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</si>
  <si>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</si>
  <si>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</si>
  <si>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</si>
  <si>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</si>
  <si>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</si>
  <si>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</si>
  <si>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</si>
  <si>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</si>
  <si>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</si>
  <si>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</si>
  <si>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</si>
  <si>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</si>
  <si>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</si>
  <si>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</si>
  <si>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</si>
  <si>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</si>
  <si>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</si>
  <si>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</si>
  <si>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</si>
  <si>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</si>
  <si>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</si>
  <si>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</si>
  <si>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</si>
  <si>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</si>
  <si>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</si>
  <si>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</si>
  <si>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</si>
  <si>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</si>
  <si>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</si>
  <si>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</si>
  <si>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</si>
  <si>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</si>
  <si>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</si>
  <si>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</si>
  <si>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</si>
  <si>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</si>
  <si>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</si>
  <si>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</si>
  <si>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</si>
  <si>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</si>
  <si>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</si>
  <si>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</si>
  <si>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</si>
  <si>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</si>
  <si>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</si>
  <si>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</si>
  <si>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</si>
  <si>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</si>
  <si>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</si>
  <si>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</si>
  <si>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</si>
  <si>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</si>
  <si>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</si>
  <si>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</si>
  <si>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</si>
  <si>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</si>
  <si>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</si>
  <si>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</si>
  <si>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</si>
  <si>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</si>
  <si>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</si>
  <si>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</si>
  <si>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</si>
  <si>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</si>
  <si>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</si>
  <si>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</si>
  <si>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</si>
  <si>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</si>
  <si>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</si>
  <si>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</si>
  <si>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</si>
  <si>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</si>
  <si>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</si>
  <si>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</si>
  <si>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</si>
  <si>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</si>
  <si>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</si>
  <si>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</si>
  <si>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</si>
  <si>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</si>
  <si>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</si>
  <si>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</si>
  <si>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</si>
  <si>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</si>
  <si>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</si>
  <si>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</si>
  <si>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</si>
  <si>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</si>
  <si>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</si>
  <si>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</si>
  <si>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</si>
  <si>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</si>
  <si>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</si>
  <si>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</si>
  <si>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</si>
  <si>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</si>
  <si>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</si>
  <si>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</si>
  <si>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</si>
  <si>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</si>
  <si>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</si>
  <si>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</si>
  <si>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</si>
  <si>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</si>
  <si>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</si>
  <si>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</si>
  <si>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</si>
  <si>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</si>
  <si>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</si>
  <si>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</si>
  <si>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</si>
  <si>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</si>
  <si>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</si>
  <si>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</si>
  <si>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</si>
  <si>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</si>
  <si>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</si>
  <si>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</si>
  <si>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</si>
  <si>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</si>
  <si>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</si>
  <si>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</si>
  <si>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</si>
  <si>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</si>
  <si>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</si>
  <si>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</si>
  <si>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</si>
  <si>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</si>
  <si>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</si>
  <si>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</si>
  <si>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</si>
  <si>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</si>
  <si>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</si>
  <si>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</si>
  <si>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</si>
  <si>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</si>
  <si>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</si>
  <si>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</si>
  <si>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</si>
  <si>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</si>
  <si>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</si>
  <si>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</si>
  <si>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</si>
  <si>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</si>
  <si>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</si>
  <si>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</si>
  <si>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</si>
  <si>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</si>
  <si>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</si>
  <si>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</si>
  <si>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</si>
  <si>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</si>
  <si>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</si>
  <si>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</si>
  <si>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</si>
  <si>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</si>
  <si>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</si>
  <si>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</si>
  <si>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</si>
  <si>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</si>
  <si>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</si>
  <si>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</si>
  <si>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</si>
  <si>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</si>
  <si>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</si>
  <si>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</si>
  <si>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</si>
  <si>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</si>
  <si>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</si>
  <si>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</si>
  <si>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</si>
  <si>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</si>
  <si>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</si>
  <si>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</si>
  <si>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</si>
  <si>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</si>
  <si>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</si>
  <si>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</si>
  <si>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</si>
  <si>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</si>
  <si>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</si>
  <si>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</si>
  <si>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</si>
  <si>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</si>
  <si>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</si>
  <si>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</si>
  <si>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</si>
  <si>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</si>
  <si>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</si>
  <si>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</si>
  <si>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</si>
  <si>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</si>
  <si>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</si>
  <si>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</si>
  <si>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</si>
  <si>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</si>
  <si>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</si>
  <si>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</si>
  <si>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</si>
  <si>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</si>
  <si>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</si>
  <si>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</si>
  <si>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</si>
  <si>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</si>
  <si>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</si>
  <si>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</si>
  <si>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</si>
  <si>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</si>
  <si>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</si>
  <si>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</si>
  <si>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</si>
  <si>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</si>
  <si>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</si>
  <si>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</si>
  <si>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</si>
  <si>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</si>
  <si>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</si>
  <si>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</si>
  <si>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</si>
  <si>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</si>
  <si>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</si>
  <si>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</si>
  <si>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</si>
  <si>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</si>
  <si>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</si>
  <si>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</si>
  <si>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</si>
  <si>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</si>
  <si>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</si>
  <si>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</si>
  <si>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</si>
  <si>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</si>
  <si>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</si>
  <si>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</si>
  <si>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</si>
  <si>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</si>
  <si>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</si>
  <si>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</si>
  <si>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</si>
  <si>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</si>
  <si>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</si>
  <si>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</si>
  <si>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</si>
  <si>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</si>
  <si>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</si>
  <si>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</si>
  <si>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</si>
  <si>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</si>
  <si>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</si>
  <si>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</si>
  <si>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</si>
  <si>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</si>
  <si>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</si>
  <si>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</si>
  <si>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</si>
  <si>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</si>
  <si>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</si>
  <si>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</si>
  <si>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</si>
  <si>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</si>
  <si>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</si>
  <si>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</si>
  <si>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</si>
  <si>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</si>
  <si>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</si>
  <si>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</si>
  <si>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</si>
  <si>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</si>
  <si>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</si>
  <si>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</si>
  <si>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</si>
  <si>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</si>
  <si>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</si>
  <si>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</si>
  <si>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</si>
  <si>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</si>
  <si>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</si>
  <si>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</si>
  <si>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</si>
  <si>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</si>
  <si>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</si>
  <si>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</si>
  <si>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</si>
  <si>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</si>
  <si>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</si>
  <si>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</si>
  <si>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</si>
  <si>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</si>
  <si>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</si>
  <si>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</si>
  <si>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</si>
  <si>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</si>
  <si>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</si>
  <si>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</si>
  <si>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</si>
  <si>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</si>
  <si>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</si>
  <si>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</si>
  <si>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</si>
  <si>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</si>
  <si>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</si>
  <si>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</si>
  <si>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</si>
  <si>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</si>
  <si>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</si>
  <si>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</si>
  <si>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</si>
  <si>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</si>
  <si>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</si>
  <si>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</si>
  <si>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</si>
  <si>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</si>
  <si>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</si>
  <si>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</si>
  <si>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</si>
  <si>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</si>
  <si>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</si>
  <si>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</si>
  <si>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</si>
  <si>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</si>
  <si>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</si>
  <si>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</si>
  <si>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</si>
  <si>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</si>
  <si>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</si>
  <si>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</si>
  <si>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</si>
  <si>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</si>
  <si>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</si>
  <si>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</si>
  <si>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</si>
  <si>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</si>
  <si>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</si>
  <si>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</si>
  <si>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</si>
  <si>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</si>
  <si>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</si>
  <si>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</si>
  <si>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</si>
  <si>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</si>
  <si>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</si>
  <si>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</si>
  <si>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</si>
  <si>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</si>
  <si>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</si>
  <si>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</si>
  <si>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</si>
  <si>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</si>
  <si>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</si>
  <si>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</si>
  <si>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</si>
  <si>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</si>
  <si>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</si>
  <si>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</si>
  <si>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</si>
  <si>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</si>
  <si>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</si>
  <si>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</si>
  <si>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</si>
  <si>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</si>
  <si>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</si>
  <si>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</si>
  <si>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</si>
  <si>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</si>
  <si>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</si>
  <si>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</si>
  <si>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</si>
  <si>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</si>
  <si>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</si>
  <si>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</si>
  <si>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</si>
  <si>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</si>
  <si>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</si>
  <si>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</si>
  <si>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</si>
  <si>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</si>
  <si>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</si>
  <si>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</si>
  <si>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</si>
  <si>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</si>
  <si>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</si>
  <si>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</si>
  <si>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</si>
  <si>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</si>
  <si>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</si>
  <si>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</si>
  <si>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</si>
  <si>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</si>
  <si>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</si>
  <si>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</si>
  <si>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</si>
  <si>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</si>
  <si>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</si>
  <si>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</si>
  <si>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</si>
  <si>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</si>
  <si>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</si>
  <si>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</si>
  <si>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</si>
  <si>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</si>
  <si>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</si>
  <si>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</si>
  <si>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</si>
  <si>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</si>
  <si>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</si>
  <si>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</si>
  <si>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</si>
  <si>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</si>
  <si>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</si>
  <si>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</si>
  <si>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</si>
  <si>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</si>
  <si>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</si>
  <si>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</si>
  <si>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</si>
  <si>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</si>
  <si>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</si>
  <si>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</si>
  <si>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</si>
  <si>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</si>
  <si>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</si>
  <si>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</si>
  <si>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</si>
  <si>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</si>
  <si>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</si>
  <si>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</si>
  <si>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</si>
  <si>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</si>
  <si>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</si>
  <si>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</si>
  <si>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</si>
  <si>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</si>
  <si>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</si>
  <si>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</si>
  <si>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</si>
  <si>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</si>
  <si>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</si>
  <si>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</si>
  <si>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</si>
  <si>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</si>
  <si>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</si>
  <si>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</si>
  <si>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</si>
  <si>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</si>
  <si>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</si>
  <si>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</si>
  <si>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</si>
  <si>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</si>
  <si>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</si>
  <si>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</si>
  <si>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</si>
  <si>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</si>
  <si>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</si>
  <si>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</si>
  <si>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</si>
  <si>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</si>
  <si>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</si>
  <si>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</si>
  <si>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</si>
  <si>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</si>
  <si>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</si>
  <si>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</si>
  <si>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</si>
  <si>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</si>
  <si>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</si>
  <si>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</si>
  <si>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</si>
  <si>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</si>
  <si>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</si>
  <si>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</si>
  <si>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</si>
  <si>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</si>
  <si>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</si>
  <si>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</si>
  <si>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</si>
  <si>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</si>
  <si>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</si>
  <si>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</si>
  <si>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</si>
  <si>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</si>
  <si>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</si>
  <si>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</si>
  <si>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</si>
  <si>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</si>
  <si>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</si>
  <si>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</si>
  <si>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</si>
  <si>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</si>
  <si>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</si>
  <si>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</si>
  <si>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</si>
  <si>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</si>
  <si>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</si>
  <si>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</si>
  <si>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</si>
  <si>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</si>
  <si>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</si>
  <si>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</si>
  <si>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</si>
  <si>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</si>
  <si>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</si>
  <si>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</si>
  <si>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</si>
  <si>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</si>
  <si>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</si>
  <si>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</si>
  <si>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</si>
  <si>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</si>
  <si>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</si>
  <si>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</si>
  <si>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</si>
  <si>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</si>
  <si>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</si>
  <si>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</si>
  <si>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</si>
  <si>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</si>
  <si>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</si>
  <si>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</si>
  <si>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</si>
  <si>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</si>
  <si>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</si>
  <si>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</si>
  <si>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</si>
  <si>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</si>
  <si>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</si>
  <si>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</si>
  <si>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</si>
  <si>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</si>
  <si>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</si>
  <si>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</si>
  <si>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</si>
  <si>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</si>
  <si>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</si>
  <si>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</si>
  <si>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</si>
  <si>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</si>
  <si>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</si>
  <si>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</si>
  <si>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</si>
  <si>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</si>
  <si>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</si>
  <si>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</si>
  <si>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</si>
  <si>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</si>
  <si>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</si>
  <si>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</si>
  <si>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</si>
  <si>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</si>
  <si>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</si>
  <si>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</si>
  <si>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</si>
  <si>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</si>
  <si>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</si>
  <si>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</si>
  <si>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</si>
  <si>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</si>
  <si>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</si>
  <si>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</si>
  <si>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</si>
  <si>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</si>
  <si>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</si>
  <si>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</si>
  <si>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</si>
  <si>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</si>
  <si>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</si>
  <si>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</si>
  <si>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</si>
  <si>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</si>
  <si>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</si>
  <si>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</si>
  <si>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</si>
  <si>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</si>
  <si>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</si>
  <si>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</si>
  <si>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</si>
  <si>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</si>
  <si>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</si>
  <si>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</si>
  <si>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</si>
  <si>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</si>
  <si>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</si>
  <si>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</si>
  <si>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</si>
  <si>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</si>
  <si>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</si>
  <si>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</si>
  <si>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</si>
  <si>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</si>
  <si>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</si>
  <si>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</si>
  <si>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</si>
  <si>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</si>
  <si>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</si>
  <si>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</si>
  <si>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</si>
  <si>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</si>
  <si>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</si>
  <si>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</si>
  <si>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</si>
  <si>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</si>
  <si>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</si>
  <si>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</si>
  <si>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</si>
  <si>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</si>
  <si>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</si>
  <si>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</si>
  <si>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</si>
  <si>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</si>
  <si>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</si>
  <si>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</si>
  <si>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</si>
  <si>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</si>
  <si>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</si>
  <si>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</si>
  <si>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</si>
  <si>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</si>
  <si>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</si>
  <si>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</si>
  <si>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</si>
  <si>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</si>
  <si>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</si>
  <si>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</si>
  <si>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</si>
  <si>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</si>
  <si>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</si>
  <si>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</si>
  <si>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</si>
  <si>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</si>
  <si>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</si>
  <si>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</si>
  <si>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</si>
  <si>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</si>
  <si>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</si>
  <si>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</si>
  <si>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</si>
  <si>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</si>
  <si>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</si>
  <si>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</si>
  <si>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</si>
  <si>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</si>
  <si>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</si>
  <si>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</si>
  <si>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</si>
  <si>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</si>
  <si>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</si>
  <si>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</si>
  <si>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</si>
  <si>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</si>
  <si>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</si>
  <si>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</si>
  <si>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</si>
  <si>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</si>
  <si>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</si>
  <si>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</si>
  <si>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</si>
  <si>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</si>
  <si>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</si>
  <si>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</si>
  <si>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</si>
  <si>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</si>
  <si>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</si>
  <si>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</si>
  <si>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</si>
  <si>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</si>
  <si>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</si>
  <si>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</si>
  <si>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</si>
  <si>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</si>
  <si>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</si>
  <si>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</si>
  <si>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</si>
  <si>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</si>
  <si>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</si>
  <si>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</si>
  <si>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</si>
  <si>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</si>
  <si>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</si>
  <si>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</si>
  <si>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</si>
  <si>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</si>
  <si>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</si>
  <si>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</si>
  <si>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</si>
  <si>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</si>
  <si>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</si>
  <si>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</si>
  <si>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</si>
  <si>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</si>
  <si>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</si>
  <si>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</si>
  <si>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</si>
  <si>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</si>
  <si>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</si>
  <si>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</si>
  <si>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</si>
  <si>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</si>
  <si>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</si>
  <si>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</si>
  <si>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</si>
  <si>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</si>
  <si>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</si>
  <si>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</si>
  <si>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</si>
  <si>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</si>
  <si>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</si>
  <si>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</si>
  <si>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</si>
  <si>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</si>
  <si>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</si>
  <si>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</si>
  <si>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</si>
  <si>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</si>
  <si>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</si>
  <si>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</si>
  <si>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</si>
  <si>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</si>
  <si>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</si>
  <si>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</si>
  <si>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</si>
  <si>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</si>
  <si>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</si>
  <si>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</si>
  <si>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</si>
  <si>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</si>
  <si>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</si>
  <si>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</si>
  <si>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</si>
  <si>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</si>
  <si>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</si>
  <si>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</si>
  <si>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</si>
  <si>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</si>
  <si>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</si>
  <si>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</si>
  <si>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</si>
  <si>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</si>
  <si>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</si>
  <si>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</si>
  <si>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</si>
  <si>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</si>
  <si>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</si>
  <si>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</si>
  <si>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</si>
  <si>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</si>
  <si>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</si>
  <si>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</si>
  <si>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</si>
  <si>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</si>
  <si>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</si>
  <si>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</si>
  <si>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</si>
  <si>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</si>
  <si>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</si>
  <si>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</si>
  <si>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</si>
  <si>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</si>
  <si>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</si>
  <si>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</si>
  <si>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</si>
  <si>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</si>
  <si>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</si>
  <si>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</si>
  <si>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</si>
  <si>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</si>
  <si>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</si>
  <si>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</si>
  <si>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</si>
  <si>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</si>
  <si>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</si>
  <si>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</si>
  <si>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</si>
  <si>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</si>
  <si>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</si>
  <si>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</si>
  <si>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</si>
  <si>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</si>
  <si>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</si>
  <si>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</si>
  <si>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</si>
  <si>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</si>
  <si>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</si>
  <si>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</si>
  <si>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</si>
  <si>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</si>
  <si>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</si>
  <si>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</si>
  <si>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</si>
  <si>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</si>
  <si>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</si>
  <si>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</si>
  <si>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</si>
  <si>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</si>
  <si>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</si>
  <si>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</si>
  <si>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</si>
  <si>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</si>
  <si>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</si>
  <si>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</si>
  <si>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</si>
  <si>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</si>
  <si>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</si>
  <si>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</si>
  <si>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</si>
  <si>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</si>
  <si>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</si>
  <si>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</si>
  <si>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</si>
  <si>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</si>
  <si>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</si>
  <si>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</si>
  <si>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</si>
  <si>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</si>
  <si>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</si>
  <si>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</si>
  <si>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</si>
  <si>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</si>
  <si>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</si>
  <si>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</si>
  <si>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</si>
  <si>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</si>
  <si>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</si>
  <si>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</si>
  <si>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</si>
  <si>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</si>
  <si>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</si>
  <si>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</si>
  <si>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</si>
  <si>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</si>
  <si>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</si>
  <si>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</si>
  <si>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</si>
  <si>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</si>
  <si>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</si>
  <si>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</si>
  <si>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</si>
  <si>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</si>
  <si>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</si>
  <si>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</si>
  <si>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</si>
  <si>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</si>
  <si>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</si>
  <si>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</si>
  <si>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</si>
  <si>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</si>
  <si>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</si>
  <si>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</si>
  <si>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</si>
  <si>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</si>
  <si>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</si>
  <si>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</si>
  <si>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</si>
  <si>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</si>
  <si>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</si>
  <si>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</si>
  <si>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</si>
  <si>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</si>
  <si>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</si>
  <si>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</si>
  <si>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</si>
  <si>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</si>
  <si>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</si>
  <si>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</si>
  <si>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</si>
  <si>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</si>
  <si>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</si>
  <si>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</si>
  <si>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</si>
  <si>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</si>
  <si>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</si>
  <si>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</si>
  <si>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</si>
  <si>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</si>
  <si>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</si>
  <si>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</si>
  <si>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</si>
  <si>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</si>
  <si>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</si>
  <si>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</si>
  <si>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</si>
  <si>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</si>
  <si>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</si>
  <si>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</si>
  <si>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</si>
  <si>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</si>
  <si>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</si>
  <si>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</si>
  <si>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</si>
  <si>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</si>
  <si>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</si>
  <si>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</si>
  <si>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</si>
  <si>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</si>
  <si>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</si>
  <si>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</si>
  <si>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</si>
  <si>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</si>
  <si>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</si>
  <si>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</si>
  <si>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</si>
  <si>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</si>
  <si>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</si>
  <si>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</si>
  <si>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</si>
  <si>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</si>
  <si>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</si>
  <si>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</si>
  <si>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</si>
  <si>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</si>
  <si>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</si>
  <si>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</si>
  <si>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</si>
  <si>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</si>
  <si>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</si>
  <si>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</si>
  <si>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</si>
  <si>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</si>
  <si>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</si>
  <si>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</si>
  <si>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</si>
  <si>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</si>
  <si>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</si>
  <si>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</si>
  <si>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</si>
  <si>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</si>
  <si>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</si>
  <si>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</si>
  <si>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</si>
  <si>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</si>
  <si>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</si>
  <si>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</si>
  <si>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</si>
  <si>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</si>
  <si>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</si>
  <si>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</si>
  <si>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</si>
  <si>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</si>
  <si>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</si>
  <si>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</si>
  <si>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</si>
  <si>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</si>
  <si>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</si>
  <si>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</si>
  <si>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</si>
  <si>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</si>
  <si>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</si>
  <si>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</si>
  <si>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</si>
  <si>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</si>
  <si>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</si>
  <si>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</si>
  <si>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</si>
  <si>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</si>
  <si>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</si>
  <si>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</si>
  <si>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</si>
  <si>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</si>
  <si>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</si>
  <si>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</si>
  <si>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</si>
  <si>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</si>
  <si>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</si>
  <si>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</si>
  <si>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</si>
  <si>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</si>
  <si>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</si>
  <si>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</si>
  <si>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</si>
  <si>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</si>
  <si>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</si>
  <si>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</si>
  <si>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</si>
  <si>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</si>
  <si>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</si>
  <si>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</si>
  <si>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</si>
  <si>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</si>
  <si>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</si>
  <si>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</si>
  <si>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</si>
  <si>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</si>
  <si>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</si>
  <si>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</si>
  <si>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</si>
  <si>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</si>
  <si>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</si>
  <si>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</si>
  <si>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</si>
  <si>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</si>
  <si>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</si>
  <si>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</si>
  <si>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</si>
  <si>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</si>
  <si>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</si>
  <si>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</si>
  <si>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</si>
  <si>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</si>
  <si>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</si>
  <si>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</si>
  <si>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</si>
  <si>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</si>
  <si>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</si>
  <si>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</si>
  <si>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</si>
  <si>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</si>
  <si>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</si>
  <si>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</si>
  <si>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</si>
  <si>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</si>
  <si>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</si>
  <si>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</si>
  <si>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</si>
  <si>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</si>
  <si>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</si>
  <si>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</si>
  <si>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</si>
  <si>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</si>
  <si>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</si>
  <si>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</si>
  <si>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</si>
  <si>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</si>
  <si>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</si>
  <si>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</si>
  <si>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</si>
  <si>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</si>
  <si>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</si>
  <si>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</si>
  <si>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</si>
  <si>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</si>
  <si>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</si>
  <si>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</si>
  <si>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</si>
  <si>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</si>
  <si>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</si>
  <si>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</si>
  <si>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</si>
  <si>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</si>
  <si>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</si>
  <si>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</si>
  <si>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</si>
  <si>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</si>
  <si>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</si>
  <si>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</si>
  <si>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</si>
  <si>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</si>
  <si>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</si>
  <si>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</si>
  <si>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</si>
  <si>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</si>
  <si>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</si>
  <si>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</si>
  <si>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</si>
  <si>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</si>
  <si>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</si>
  <si>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</si>
  <si>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</si>
  <si>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</si>
  <si>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</si>
  <si>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</si>
  <si>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</si>
  <si>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</si>
  <si>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</si>
  <si>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</si>
  <si>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</si>
  <si>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</si>
  <si>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</si>
  <si>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</si>
  <si>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</si>
  <si>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</si>
  <si>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</si>
  <si>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</si>
  <si>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</si>
  <si>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</si>
  <si>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</si>
  <si>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</si>
  <si>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</si>
  <si>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</si>
  <si>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</si>
  <si>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</si>
  <si>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</si>
  <si>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</si>
  <si>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</si>
  <si>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</si>
  <si>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</si>
  <si>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</si>
  <si>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</si>
  <si>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</si>
  <si>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</si>
  <si>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</si>
  <si>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</si>
  <si>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</si>
  <si>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</si>
  <si>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</si>
  <si>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</si>
  <si>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</si>
  <si>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</si>
  <si>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</si>
  <si>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</si>
  <si>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</si>
  <si>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</si>
  <si>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</si>
  <si>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</si>
  <si>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</si>
  <si>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</si>
  <si>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</si>
  <si>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</si>
  <si>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</si>
  <si>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</si>
  <si>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</si>
  <si>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</si>
  <si>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</si>
  <si>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</si>
  <si>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</si>
  <si>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</si>
  <si>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</si>
  <si>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</si>
  <si>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</si>
  <si>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</si>
  <si>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</si>
  <si>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</si>
  <si>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</si>
  <si>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</si>
  <si>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</si>
  <si>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</si>
  <si>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</si>
  <si>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</si>
  <si>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</si>
  <si>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</si>
  <si>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</si>
  <si>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</si>
  <si>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</si>
  <si>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</si>
  <si>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</si>
  <si>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</si>
  <si>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</si>
  <si>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</si>
  <si>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</si>
  <si>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</si>
  <si>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</si>
  <si>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</si>
  <si>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</si>
  <si>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</si>
  <si>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</si>
  <si>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</si>
  <si>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</si>
  <si>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</si>
  <si>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</si>
  <si>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</si>
  <si>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</si>
  <si>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</si>
  <si>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</si>
  <si>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</si>
  <si>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</si>
  <si>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</si>
  <si>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</si>
  <si>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</si>
  <si>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</si>
  <si>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</si>
  <si>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</si>
  <si>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</si>
  <si>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</si>
  <si>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</si>
  <si>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</si>
  <si>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</si>
  <si>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</si>
  <si>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</si>
  <si>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</si>
  <si>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</si>
  <si>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</si>
  <si>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</si>
  <si>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</si>
  <si>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</si>
  <si>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</si>
  <si>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</si>
  <si>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</si>
  <si>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</si>
  <si>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</si>
  <si>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</si>
  <si>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</si>
  <si>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</si>
  <si>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</si>
  <si>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</si>
  <si>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</si>
  <si>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</si>
  <si>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</si>
  <si>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</si>
  <si>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</si>
  <si>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</si>
  <si>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</si>
  <si>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</si>
  <si>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</si>
  <si>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</si>
  <si>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</si>
  <si>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</si>
  <si>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</si>
  <si>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</si>
  <si>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</si>
  <si>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</si>
  <si>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</si>
  <si>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</si>
  <si>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</si>
  <si>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</si>
  <si>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</si>
  <si>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</si>
  <si>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</si>
  <si>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</si>
  <si>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</si>
  <si>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</si>
  <si>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</si>
  <si>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</si>
  <si>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</si>
  <si>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</si>
  <si>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</si>
  <si>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</si>
  <si>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</si>
  <si>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</si>
  <si>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</si>
  <si>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</si>
  <si>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</si>
  <si>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</si>
  <si>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</si>
  <si>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</si>
  <si>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</si>
  <si>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</si>
  <si>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</si>
  <si>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</si>
  <si>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</si>
  <si>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</si>
  <si>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</si>
  <si>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</si>
  <si>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</si>
  <si>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</si>
  <si>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</si>
  <si>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</si>
  <si>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</si>
  <si>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</si>
  <si>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</si>
  <si>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</si>
  <si>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</si>
  <si>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</si>
  <si>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</si>
  <si>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</si>
  <si>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</si>
  <si>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</si>
  <si>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</si>
  <si>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</si>
  <si>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</si>
  <si>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</si>
  <si>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</si>
  <si>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</si>
  <si>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</si>
  <si>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</si>
  <si>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</si>
  <si>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</si>
  <si>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</si>
  <si>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</si>
  <si>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</si>
  <si>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</si>
  <si>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</si>
  <si>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</si>
  <si>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</si>
  <si>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</si>
  <si>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</si>
  <si>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</si>
  <si>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</si>
  <si>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</si>
  <si>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</si>
  <si>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</si>
  <si>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</si>
  <si>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</si>
  <si>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</si>
  <si>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</si>
  <si>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</si>
  <si>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</si>
  <si>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</si>
  <si>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</si>
  <si>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</si>
  <si>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</si>
  <si>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</si>
  <si>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</si>
  <si>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</si>
  <si>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</si>
  <si>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</si>
  <si>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</si>
  <si>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</si>
  <si>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</si>
  <si>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</si>
  <si>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</si>
  <si>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</si>
  <si>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</si>
  <si>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</si>
  <si>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</si>
  <si>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</si>
  <si>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</si>
  <si>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</si>
  <si>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</si>
  <si>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</si>
  <si>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</si>
  <si>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</si>
  <si>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</si>
  <si>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</si>
  <si>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</si>
  <si>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</si>
  <si>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</si>
  <si>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</si>
  <si>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</si>
  <si>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</si>
  <si>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</si>
  <si>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</si>
  <si>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</si>
  <si>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</si>
  <si>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</si>
  <si>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</si>
  <si>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</si>
  <si>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</si>
  <si>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</si>
  <si>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</si>
  <si>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</si>
  <si>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</si>
  <si>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</si>
  <si>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</si>
  <si>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</si>
  <si>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</si>
  <si>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</si>
  <si>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</si>
  <si>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</si>
  <si>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</si>
  <si>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</si>
  <si>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</si>
  <si>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</si>
  <si>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</si>
  <si>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</si>
  <si>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</si>
  <si>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</si>
  <si>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</si>
  <si>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</si>
  <si>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</si>
  <si>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</si>
  <si>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</si>
  <si>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</si>
  <si>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</si>
  <si>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</si>
  <si>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</si>
  <si>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</si>
  <si>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</si>
  <si>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</si>
  <si>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</si>
  <si>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</si>
  <si>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</si>
  <si>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</si>
  <si>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</si>
  <si>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</si>
  <si>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</si>
  <si>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</si>
  <si>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</si>
  <si>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</si>
  <si>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</si>
  <si>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</si>
  <si>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</si>
  <si>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</si>
  <si>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</si>
  <si>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</si>
  <si>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</si>
  <si>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</si>
  <si>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</si>
  <si>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</si>
  <si>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</si>
  <si>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</si>
  <si>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</si>
  <si>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</si>
  <si>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</si>
  <si>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</si>
  <si>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</si>
  <si>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</si>
  <si>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</si>
  <si>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</si>
  <si>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</si>
  <si>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</si>
  <si>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</si>
  <si>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</si>
  <si>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</si>
  <si>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</si>
  <si>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</si>
  <si>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</si>
  <si>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</si>
  <si>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</si>
  <si>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</si>
  <si>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</si>
  <si>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</si>
  <si>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</si>
  <si>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</si>
  <si>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</si>
  <si>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</si>
  <si>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</si>
  <si>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</si>
  <si>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</si>
  <si>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</si>
  <si>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</si>
  <si>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</si>
  <si>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</si>
  <si>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</si>
  <si>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</si>
  <si>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</si>
  <si>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</si>
  <si>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</si>
  <si>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</si>
  <si>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</si>
  <si>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</si>
  <si>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</si>
  <si>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</si>
  <si>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</si>
  <si>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</si>
  <si>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</si>
  <si>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</si>
  <si>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</si>
  <si>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</si>
  <si>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</si>
  <si>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</si>
  <si>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</si>
  <si>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</si>
  <si>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</si>
  <si>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</si>
  <si>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</si>
  <si>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</si>
  <si>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</si>
  <si>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</si>
  <si>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</si>
  <si>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</si>
  <si>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</si>
  <si>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</si>
  <si>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</si>
  <si>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</si>
  <si>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</si>
  <si>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</si>
  <si>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</si>
  <si>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</si>
  <si>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</si>
  <si>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</si>
  <si>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</si>
  <si>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</si>
  <si>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</si>
  <si>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</si>
  <si>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</si>
  <si>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</si>
  <si>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</si>
  <si>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</si>
  <si>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</si>
  <si>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</si>
  <si>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</si>
  <si>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</si>
  <si>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</si>
  <si>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</si>
  <si>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</si>
  <si>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</si>
  <si>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</si>
  <si>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</si>
  <si>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</si>
  <si>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</si>
  <si>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</si>
  <si>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</si>
  <si>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</si>
  <si>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</si>
  <si>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</si>
  <si>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</si>
  <si>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</si>
  <si>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</si>
  <si>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</si>
  <si>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</si>
  <si>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</si>
  <si>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</si>
  <si>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</si>
  <si>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</si>
  <si>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</si>
  <si>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</si>
  <si>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</si>
  <si>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</si>
  <si>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</si>
  <si>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</si>
  <si>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</si>
  <si>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</si>
  <si>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</si>
  <si>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</si>
  <si>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</si>
  <si>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</si>
  <si>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</si>
  <si>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</si>
  <si>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</si>
  <si>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</si>
  <si>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</si>
  <si>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</si>
  <si>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</si>
  <si>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</si>
  <si>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</si>
  <si>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</si>
  <si>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</si>
  <si>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</si>
  <si>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</si>
  <si>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</si>
  <si>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</si>
  <si>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</si>
  <si>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</si>
  <si>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</si>
  <si>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</si>
  <si>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</si>
  <si>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</si>
  <si>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</si>
  <si>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</si>
  <si>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</si>
  <si>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</si>
  <si>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</si>
  <si>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</si>
  <si>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</si>
  <si>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</si>
  <si>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</si>
  <si>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</si>
  <si>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</si>
  <si>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</si>
  <si>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</si>
  <si>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</si>
  <si>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</si>
  <si>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</si>
  <si>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</si>
  <si>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</si>
  <si>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</si>
  <si>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</si>
  <si>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</si>
  <si>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</si>
  <si>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</si>
  <si>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</si>
  <si>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</si>
  <si>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</si>
  <si>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</si>
  <si>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</si>
  <si>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</si>
  <si>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</si>
  <si>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</si>
  <si>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</si>
  <si>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</si>
  <si>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</si>
  <si>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</si>
  <si>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</si>
  <si>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</si>
  <si>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</si>
  <si>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</si>
  <si>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</si>
  <si>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</si>
  <si>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</si>
  <si>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</si>
  <si>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</si>
  <si>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</si>
  <si>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</si>
  <si>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</si>
  <si>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</si>
  <si>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</si>
  <si>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</si>
  <si>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</si>
  <si>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</si>
  <si>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</si>
  <si>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</si>
  <si>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</si>
  <si>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</si>
  <si>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</si>
  <si>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</si>
  <si>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</si>
  <si>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</si>
  <si>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</si>
  <si>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</si>
  <si>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</si>
  <si>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</si>
  <si>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</si>
  <si>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</si>
  <si>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</si>
  <si>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</si>
  <si>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</si>
  <si>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</si>
  <si>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</si>
  <si>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</si>
  <si>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</si>
  <si>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</si>
  <si>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</si>
  <si>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</si>
  <si>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</si>
  <si>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</si>
  <si>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</si>
  <si>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</si>
  <si>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</si>
  <si>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</si>
  <si>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</si>
  <si>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</si>
  <si>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</si>
  <si>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</si>
  <si>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</si>
  <si>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</si>
  <si>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</si>
  <si>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</si>
  <si>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</si>
  <si>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</si>
  <si>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</si>
  <si>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</si>
  <si>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</si>
  <si>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</si>
  <si>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</si>
  <si>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</si>
  <si>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</si>
  <si>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</si>
  <si>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</si>
  <si>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</si>
  <si>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</si>
  <si>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</si>
  <si>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</si>
  <si>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</si>
  <si>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</si>
  <si>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</si>
  <si>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</si>
  <si>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</si>
  <si>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</si>
  <si>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</si>
  <si>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</si>
  <si>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</si>
  <si>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</si>
  <si>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</si>
  <si>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</si>
  <si>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</si>
  <si>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</si>
  <si>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</si>
  <si>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</si>
  <si>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</si>
  <si>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</si>
  <si>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</si>
  <si>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</si>
  <si>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</si>
  <si>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</si>
  <si>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</si>
  <si>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</si>
  <si>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</si>
  <si>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</si>
  <si>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</si>
  <si>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</si>
  <si>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</si>
  <si>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</si>
  <si>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</si>
  <si>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</si>
  <si>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</si>
  <si>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</si>
  <si>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</si>
  <si>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</si>
  <si>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</si>
  <si>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</si>
  <si>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</si>
  <si>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</si>
  <si>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</si>
  <si>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</si>
  <si>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</si>
  <si>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</si>
  <si>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</si>
  <si>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</si>
  <si>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</si>
  <si>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</si>
  <si>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</si>
  <si>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</si>
  <si>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</si>
  <si>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</si>
  <si>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</si>
  <si>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</si>
  <si>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</si>
  <si>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</si>
  <si>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</si>
  <si>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</si>
  <si>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</si>
  <si>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</si>
  <si>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</si>
  <si>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</si>
  <si>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</si>
  <si>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</si>
  <si>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</si>
  <si>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</si>
  <si>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</si>
  <si>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</si>
  <si>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</si>
  <si>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</si>
  <si>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</si>
  <si>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</si>
  <si>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</si>
  <si>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</si>
  <si>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</si>
  <si>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</si>
  <si>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</si>
  <si>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</si>
  <si>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</si>
  <si>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</si>
  <si>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</si>
  <si>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</si>
  <si>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</si>
  <si>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</si>
  <si>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</si>
  <si>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</si>
  <si>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</si>
  <si>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</si>
  <si>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</si>
  <si>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</si>
  <si>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</si>
  <si>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</si>
  <si>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</si>
  <si>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</si>
  <si>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</si>
  <si>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</si>
  <si>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</si>
  <si>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</si>
  <si>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</si>
  <si>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</si>
  <si>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</si>
  <si>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</si>
  <si>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</si>
  <si>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</si>
  <si>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</si>
  <si>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</si>
  <si>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</si>
  <si>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</si>
  <si>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</si>
  <si>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</si>
  <si>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</si>
  <si>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</si>
  <si>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</si>
  <si>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</si>
  <si>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</si>
  <si>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</si>
  <si>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</si>
  <si>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</si>
  <si>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</si>
  <si>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</si>
  <si>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</si>
  <si>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</si>
  <si>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</si>
  <si>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</si>
  <si>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</si>
  <si>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</si>
  <si>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</si>
  <si>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</si>
  <si>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</si>
  <si>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</si>
  <si>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</si>
  <si>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</si>
  <si>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</si>
  <si>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</si>
  <si>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</si>
  <si>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</si>
  <si>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</si>
  <si>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</si>
  <si>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</si>
  <si>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</si>
  <si>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</si>
  <si>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</si>
  <si>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</si>
  <si>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</si>
  <si>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</si>
  <si>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</si>
  <si>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</si>
  <si>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</si>
  <si>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</si>
  <si>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</si>
  <si>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</si>
  <si>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</si>
  <si>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</si>
  <si>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</si>
  <si>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</si>
  <si>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</si>
  <si>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</si>
  <si>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</si>
  <si>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</si>
  <si>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</si>
  <si>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</si>
  <si>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</si>
  <si>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</si>
  <si>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</si>
  <si>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</si>
  <si>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</si>
  <si>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</si>
  <si>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</si>
  <si>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</si>
  <si>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</si>
  <si>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</si>
  <si>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</si>
  <si>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</si>
  <si>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</si>
  <si>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</si>
  <si>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</si>
  <si>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</si>
  <si>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</si>
  <si>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</si>
  <si>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</si>
  <si>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</si>
  <si>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</si>
  <si>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</si>
  <si>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</si>
  <si>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</si>
  <si>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</si>
  <si>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</si>
  <si>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</si>
  <si>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</si>
  <si>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</si>
  <si>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</si>
  <si>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</si>
  <si>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</si>
  <si>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</si>
  <si>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</si>
  <si>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</si>
  <si>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</si>
  <si>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</si>
  <si>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</si>
  <si>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</si>
  <si>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</si>
  <si>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</si>
  <si>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</si>
  <si>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</si>
  <si>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</si>
  <si>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</si>
  <si>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</si>
  <si>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</si>
  <si>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</si>
  <si>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</si>
  <si>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</si>
  <si>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</si>
  <si>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</si>
  <si>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</si>
  <si>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</si>
  <si>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</si>
  <si>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</si>
  <si>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</si>
  <si>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</si>
  <si>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</si>
  <si>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</si>
  <si>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</si>
  <si>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</si>
  <si>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</si>
  <si>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</si>
  <si>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</si>
  <si>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</si>
  <si>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</si>
  <si>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</si>
  <si>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</si>
  <si>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</si>
  <si>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</si>
  <si>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</si>
  <si>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</si>
  <si>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</si>
  <si>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</si>
  <si>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</si>
  <si>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</si>
  <si>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</si>
  <si>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</si>
  <si>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</si>
  <si>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</si>
  <si>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</si>
  <si>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</si>
  <si>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</si>
  <si>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</si>
  <si>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</si>
  <si>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</si>
  <si>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</si>
  <si>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</si>
  <si>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</si>
  <si>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</si>
  <si>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</si>
  <si>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</si>
  <si>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</si>
  <si>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</si>
  <si>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</si>
  <si>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</si>
  <si>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</si>
  <si>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</si>
  <si>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</si>
  <si>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</si>
  <si>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</si>
  <si>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</si>
  <si>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</si>
  <si>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</si>
  <si>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</si>
  <si>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</si>
  <si>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</si>
  <si>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</si>
  <si>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</si>
  <si>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</si>
  <si>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</si>
  <si>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</si>
  <si>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</si>
  <si>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</si>
  <si>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</si>
  <si>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</si>
  <si>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</si>
  <si>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</si>
  <si>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</si>
  <si>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</si>
  <si>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</si>
  <si>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</si>
  <si>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</si>
  <si>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</si>
  <si>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</si>
  <si>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</si>
  <si>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</si>
  <si>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</si>
  <si>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</si>
  <si>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</si>
  <si>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</si>
  <si>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</si>
  <si>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</si>
  <si>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</si>
  <si>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</si>
  <si>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</si>
  <si>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</si>
  <si>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</si>
  <si>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</si>
  <si>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</si>
  <si>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</si>
  <si>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</si>
  <si>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</si>
  <si>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</si>
  <si>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</si>
  <si>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</si>
  <si>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</si>
  <si>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</si>
  <si>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</si>
  <si>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</si>
  <si>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</si>
  <si>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</si>
  <si>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</si>
  <si>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</si>
  <si>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</si>
  <si>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</si>
  <si>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</si>
  <si>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</si>
  <si>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</si>
  <si>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</si>
  <si>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</si>
  <si>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</si>
  <si>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</si>
  <si>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</si>
  <si>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</si>
  <si>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</si>
  <si>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</si>
  <si>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</si>
  <si>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</si>
  <si>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</si>
  <si>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</si>
  <si>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</si>
  <si>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</si>
  <si>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</si>
  <si>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</si>
  <si>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</si>
  <si>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</si>
  <si>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</si>
  <si>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</si>
  <si>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</si>
  <si>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</si>
  <si>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</si>
  <si>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</si>
  <si>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</si>
  <si>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</si>
  <si>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</si>
  <si>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</si>
  <si>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</si>
  <si>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</si>
  <si>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</si>
  <si>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</si>
  <si>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</si>
  <si>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</si>
  <si>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</si>
  <si>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</si>
  <si>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</si>
  <si>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</si>
  <si>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</si>
  <si>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</si>
  <si>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</si>
  <si>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</si>
  <si>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</si>
  <si>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</si>
  <si>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</si>
  <si>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</si>
  <si>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</si>
  <si>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</si>
  <si>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</si>
  <si>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</si>
  <si>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</si>
  <si>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</si>
  <si>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</si>
  <si>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</si>
  <si>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</si>
  <si>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</si>
  <si>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</si>
  <si>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</si>
  <si>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</si>
  <si>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</si>
  <si>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</si>
  <si>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</si>
  <si>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</si>
  <si>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</si>
  <si>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</si>
  <si>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</si>
  <si>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</si>
  <si>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</si>
  <si>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</si>
  <si>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</si>
  <si>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</si>
  <si>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</si>
  <si>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</si>
  <si>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</si>
  <si>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</si>
  <si>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</si>
  <si>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</si>
  <si>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</si>
  <si>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</si>
  <si>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</si>
  <si>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</si>
  <si>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</si>
  <si>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</si>
  <si>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</si>
  <si>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</si>
  <si>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</si>
  <si>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</si>
  <si>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</si>
  <si>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</si>
  <si>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</si>
  <si>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</si>
  <si>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</si>
  <si>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</si>
  <si>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</si>
  <si>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</si>
  <si>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</si>
  <si>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</si>
  <si>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</si>
  <si>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</si>
  <si>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</si>
  <si>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</si>
  <si>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</si>
  <si>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</si>
  <si>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</si>
  <si>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</si>
  <si>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</si>
  <si>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</si>
  <si>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</si>
  <si>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</si>
  <si>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</si>
  <si>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</si>
  <si>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</si>
  <si>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</si>
  <si>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</si>
  <si>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</si>
  <si>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</si>
  <si>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</si>
  <si>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</si>
  <si>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</si>
  <si>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</si>
  <si>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</si>
  <si>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</si>
  <si>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</si>
  <si>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</si>
  <si>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</si>
  <si>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</si>
  <si>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</si>
  <si>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</si>
  <si>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</si>
  <si>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</si>
  <si>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</si>
  <si>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</si>
  <si>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</si>
  <si>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</si>
  <si>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</si>
  <si>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</si>
  <si>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</si>
  <si>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</si>
  <si>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</si>
  <si>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</si>
  <si>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</si>
  <si>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</si>
  <si>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</si>
  <si>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</si>
  <si>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</si>
  <si>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</si>
  <si>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</si>
  <si>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</si>
  <si>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</si>
  <si>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</si>
  <si>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</si>
  <si>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</si>
  <si>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</si>
  <si>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</si>
  <si>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</si>
  <si>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</si>
  <si>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</si>
  <si>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</si>
  <si>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</si>
  <si>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</si>
  <si>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</si>
  <si>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</si>
  <si>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</si>
  <si>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</si>
  <si>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</si>
  <si>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</si>
  <si>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</si>
  <si>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</si>
  <si>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</si>
  <si>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</si>
  <si>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</si>
  <si>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</si>
  <si>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</si>
  <si>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</si>
  <si>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</si>
  <si>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</si>
  <si>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</si>
  <si>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</si>
  <si>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</si>
  <si>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</si>
  <si>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</si>
  <si>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</si>
  <si>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</si>
  <si>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</si>
  <si>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</si>
  <si>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</si>
  <si>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</si>
  <si>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</si>
  <si>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</si>
  <si>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</si>
  <si>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</si>
  <si>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</si>
  <si>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</si>
  <si>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</si>
  <si>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</si>
  <si>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</si>
  <si>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</si>
  <si>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</si>
  <si>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</si>
  <si>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</si>
  <si>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</si>
  <si>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</si>
  <si>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</si>
  <si>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</si>
  <si>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</si>
  <si>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</si>
  <si>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</si>
  <si>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</si>
  <si>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</si>
  <si>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</si>
  <si>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</si>
  <si>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</si>
  <si>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</si>
  <si>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</si>
  <si>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</si>
  <si>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</si>
  <si>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</si>
  <si>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</si>
  <si>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</si>
  <si>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</si>
  <si>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</si>
  <si>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</si>
  <si>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</si>
  <si>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</si>
  <si>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</si>
  <si>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</si>
  <si>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</si>
  <si>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</si>
  <si>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</si>
  <si>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</si>
  <si>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</si>
  <si>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</si>
  <si>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</si>
  <si>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</si>
  <si>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</si>
  <si>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</si>
  <si>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</si>
  <si>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</si>
  <si>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</si>
  <si>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</si>
  <si>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</si>
  <si>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</si>
  <si>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</si>
  <si>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</si>
  <si>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</si>
  <si>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</si>
  <si>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</si>
  <si>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</si>
  <si>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</si>
  <si>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</si>
  <si>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</si>
  <si>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</si>
  <si>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</si>
  <si>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</si>
  <si>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</si>
  <si>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</si>
  <si>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</si>
  <si>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</si>
  <si>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</si>
  <si>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</si>
  <si>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</si>
  <si>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</si>
  <si>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</si>
  <si>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</si>
  <si>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</si>
  <si>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</si>
  <si>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</si>
  <si>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</si>
  <si>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</si>
  <si>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</si>
  <si>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</si>
  <si>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</si>
  <si>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</si>
  <si>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</si>
  <si>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</si>
  <si>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</si>
  <si>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</si>
  <si>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</si>
  <si>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</si>
  <si>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</si>
  <si>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</si>
  <si>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</si>
  <si>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</si>
  <si>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</si>
  <si>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</si>
  <si>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</si>
  <si>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</si>
  <si>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</si>
  <si>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</si>
  <si>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</si>
  <si>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</si>
  <si>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</si>
  <si>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</si>
  <si>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</si>
  <si>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</si>
  <si>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</si>
  <si>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</si>
  <si>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</si>
  <si>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</si>
  <si>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</si>
  <si>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</si>
  <si>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</si>
  <si>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</si>
  <si>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</si>
  <si>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</si>
  <si>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</si>
  <si>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</si>
  <si>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</si>
  <si>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</si>
  <si>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</si>
  <si>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</si>
  <si>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</si>
  <si>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</si>
  <si>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</si>
  <si>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</si>
  <si>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</si>
  <si>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</si>
  <si>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</si>
  <si>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</si>
  <si>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</si>
  <si>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</si>
  <si>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</si>
  <si>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</si>
  <si>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</si>
  <si>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</si>
  <si>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</si>
  <si>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</si>
  <si>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</si>
  <si>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</si>
  <si>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</si>
  <si>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</si>
  <si>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</si>
  <si>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</si>
  <si>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</si>
  <si>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</si>
  <si>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</si>
  <si>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</si>
  <si>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</si>
  <si>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</si>
  <si>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</si>
  <si>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</si>
  <si>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</si>
  <si>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</si>
  <si>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</si>
  <si>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</si>
  <si>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</si>
  <si>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</si>
  <si>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</si>
  <si>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</si>
  <si>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</si>
  <si>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</si>
  <si>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</si>
  <si>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</si>
  <si>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</si>
  <si>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</si>
  <si>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</si>
  <si>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</si>
  <si>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</si>
  <si>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</si>
  <si>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</si>
  <si>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</si>
  <si>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</si>
  <si>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</si>
  <si>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</si>
  <si>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</si>
  <si>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</si>
  <si>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</si>
  <si>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</si>
  <si>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</si>
  <si>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</si>
  <si>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</si>
  <si>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</si>
  <si>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</si>
  <si>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</si>
  <si>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</si>
  <si>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</si>
  <si>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</si>
  <si>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</si>
  <si>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</si>
  <si>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</si>
  <si>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</si>
  <si>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</si>
  <si>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</si>
  <si>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</si>
  <si>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</si>
  <si>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</si>
  <si>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</si>
  <si>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</si>
  <si>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</si>
  <si>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</si>
  <si>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</si>
  <si>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</si>
  <si>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</si>
  <si>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</si>
  <si>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</si>
  <si>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</si>
  <si>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</si>
  <si>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</si>
  <si>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</si>
  <si>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</si>
  <si>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</si>
  <si>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</si>
  <si>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</si>
  <si>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</si>
  <si>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</si>
  <si>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</si>
  <si>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</si>
  <si>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</si>
  <si>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</si>
  <si>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</si>
  <si>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</si>
  <si>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</si>
  <si>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</si>
  <si>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</si>
  <si>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</si>
  <si>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</si>
  <si>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</si>
  <si>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</si>
  <si>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</si>
  <si>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</si>
  <si>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</si>
  <si>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</si>
  <si>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</si>
  <si>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</si>
  <si>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</si>
  <si>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</si>
  <si>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</si>
  <si>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</si>
  <si>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</si>
  <si>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</si>
  <si>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</si>
  <si>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</si>
  <si>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</si>
  <si>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</si>
  <si>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</si>
  <si>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</si>
  <si>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</si>
  <si>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</si>
  <si>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</si>
  <si>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</si>
  <si>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</si>
  <si>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</si>
  <si>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</si>
  <si>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</si>
  <si>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</si>
  <si>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</si>
  <si>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</si>
  <si>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</si>
  <si>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</si>
  <si>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</si>
  <si>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</si>
  <si>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</si>
  <si>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</si>
  <si>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</si>
  <si>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</si>
  <si>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</si>
  <si>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</si>
  <si>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</si>
  <si>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</si>
  <si>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</si>
  <si>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</si>
  <si>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</si>
  <si>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</si>
  <si>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</si>
  <si>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</si>
  <si>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</si>
  <si>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</si>
  <si>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</si>
  <si>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</si>
  <si>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</si>
  <si>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</si>
  <si>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</si>
  <si>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</si>
  <si>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</si>
  <si>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</si>
  <si>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</si>
  <si>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</si>
  <si>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</si>
  <si>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</si>
  <si>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</si>
  <si>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</si>
  <si>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</si>
  <si>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</si>
  <si>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</si>
  <si>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</si>
  <si>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</si>
  <si>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</si>
  <si>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</si>
  <si>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</si>
  <si>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</si>
  <si>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</si>
  <si>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</si>
  <si>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</si>
  <si>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</si>
  <si>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</si>
  <si>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</si>
  <si>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</si>
  <si>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</si>
  <si>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</si>
  <si>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</si>
  <si>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</si>
  <si>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</si>
  <si>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</si>
  <si>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</si>
  <si>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</si>
  <si>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</si>
  <si>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</si>
  <si>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</si>
  <si>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</si>
  <si>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</si>
  <si>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</si>
  <si>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</si>
  <si>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</si>
  <si>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</si>
  <si>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</si>
  <si>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</si>
  <si>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</si>
  <si>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</si>
  <si>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</si>
  <si>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</si>
  <si>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</si>
  <si>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</si>
  <si>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</si>
  <si>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</si>
  <si>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</si>
  <si>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</si>
  <si>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</si>
  <si>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</si>
  <si>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</si>
  <si>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</si>
  <si>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</si>
  <si>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</si>
  <si>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</si>
  <si>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</si>
  <si>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</si>
  <si>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</si>
  <si>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</si>
  <si>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</si>
  <si>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</si>
  <si>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</si>
  <si>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</si>
  <si>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</si>
  <si>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</si>
  <si>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</si>
  <si>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</si>
  <si>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</si>
  <si>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</si>
  <si>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</si>
  <si>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</si>
  <si>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</si>
  <si>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</si>
  <si>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</si>
  <si>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</si>
  <si>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</si>
  <si>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</si>
  <si>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</si>
  <si>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</si>
  <si>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</si>
  <si>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</si>
  <si>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</si>
  <si>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</si>
  <si>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</si>
  <si>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</si>
  <si>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</si>
  <si>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</si>
  <si>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</si>
  <si>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</si>
  <si>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</si>
  <si>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</si>
  <si>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</si>
  <si>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</si>
  <si>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</si>
  <si>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</si>
  <si>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</si>
  <si>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</si>
  <si>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</si>
  <si>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</si>
  <si>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</si>
  <si>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</si>
  <si>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</si>
  <si>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</si>
  <si>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</si>
  <si>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</si>
  <si>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</si>
  <si>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</si>
  <si>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</si>
  <si>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</si>
  <si>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</si>
  <si>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</si>
  <si>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</si>
  <si>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</si>
  <si>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</si>
  <si>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</si>
  <si>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</si>
  <si>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</si>
  <si>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</si>
  <si>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</si>
  <si>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</si>
  <si>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</si>
  <si>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</si>
  <si>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</si>
  <si>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</si>
  <si>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</si>
  <si>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</si>
  <si>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</si>
  <si>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</si>
  <si>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</si>
  <si>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</si>
  <si>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</si>
  <si>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</si>
  <si>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</si>
  <si>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</si>
  <si>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</si>
  <si>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</si>
  <si>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</si>
  <si>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</si>
  <si>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</si>
  <si>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</si>
  <si>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</si>
  <si>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</si>
  <si>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</si>
  <si>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</si>
  <si>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</si>
  <si>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</si>
  <si>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</si>
  <si>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</si>
  <si>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</si>
  <si>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</si>
  <si>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</si>
  <si>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</si>
  <si>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</si>
  <si>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</si>
  <si>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</si>
  <si>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</si>
  <si>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</si>
  <si>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</si>
  <si>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</si>
  <si>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</si>
  <si>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</si>
  <si>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</si>
  <si>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</si>
  <si>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</si>
  <si>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</si>
  <si>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</si>
  <si>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</si>
  <si>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</si>
  <si>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</si>
  <si>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</si>
  <si>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</si>
  <si>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</si>
  <si>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</si>
  <si>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</si>
  <si>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</si>
  <si>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</si>
  <si>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</si>
  <si>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</si>
  <si>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</si>
  <si>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</si>
  <si>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</si>
  <si>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</si>
  <si>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</si>
  <si>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</si>
  <si>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</si>
  <si>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</si>
  <si>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</si>
  <si>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</si>
  <si>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</si>
  <si>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</si>
  <si>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</si>
  <si>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</si>
  <si>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</si>
  <si>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</si>
  <si>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</si>
  <si>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</si>
  <si>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</si>
  <si>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</si>
  <si>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</si>
  <si>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</si>
  <si>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</si>
  <si>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</si>
  <si>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</si>
  <si>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</si>
  <si>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</si>
  <si>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</si>
  <si>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</si>
  <si>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</si>
  <si>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</si>
  <si>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</si>
  <si>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</si>
  <si>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</si>
  <si>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</si>
  <si>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</si>
  <si>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</si>
  <si>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</si>
  <si>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</si>
  <si>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</si>
  <si>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</si>
  <si>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</si>
  <si>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</si>
  <si>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</si>
  <si>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</si>
  <si>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</si>
  <si>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</si>
  <si>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</si>
  <si>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</si>
  <si>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</si>
  <si>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</si>
  <si>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</si>
  <si>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</si>
  <si>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</si>
  <si>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</si>
  <si>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</si>
  <si>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</si>
  <si>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</si>
  <si>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</si>
  <si>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</si>
  <si>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</si>
  <si>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</si>
  <si>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</si>
  <si>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</si>
  <si>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</si>
  <si>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</si>
  <si>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</si>
  <si>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</si>
  <si>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</si>
  <si>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</si>
  <si>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</si>
  <si>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</si>
  <si>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</si>
  <si>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</si>
  <si>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</si>
  <si>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</si>
  <si>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</si>
  <si>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</si>
  <si>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</si>
  <si>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</si>
  <si>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</si>
  <si>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</si>
  <si>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</si>
  <si>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</si>
  <si>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</si>
  <si>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</si>
  <si>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</si>
  <si>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</si>
  <si>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</si>
  <si>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</si>
  <si>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</si>
  <si>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</si>
  <si>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</si>
  <si>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</si>
  <si>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</si>
  <si>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</si>
  <si>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</si>
  <si>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</si>
  <si>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</si>
  <si>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</si>
  <si>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</si>
  <si>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</si>
  <si>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</si>
  <si>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</si>
  <si>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</si>
  <si>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</si>
  <si>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</si>
  <si>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</si>
  <si>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</si>
  <si>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</si>
  <si>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</si>
  <si>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</si>
  <si>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</si>
  <si>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</si>
  <si>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</si>
  <si>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</si>
  <si>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</si>
  <si>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</si>
  <si>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</si>
  <si>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</si>
  <si>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</si>
  <si>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</si>
  <si>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</si>
  <si>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</si>
  <si>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</si>
  <si>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</si>
  <si>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</si>
  <si>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</si>
  <si>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</si>
  <si>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</si>
  <si>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</si>
  <si>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</si>
  <si>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</si>
  <si>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</si>
  <si>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</si>
  <si>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</si>
  <si>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</si>
  <si>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</si>
  <si>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</si>
  <si>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</si>
  <si>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</si>
  <si>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</si>
  <si>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</si>
  <si>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</si>
  <si>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</si>
  <si>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</si>
  <si>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</si>
  <si>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</si>
  <si>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</si>
  <si>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</si>
  <si>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</si>
  <si>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</si>
  <si>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</si>
  <si>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</si>
  <si>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</si>
  <si>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</si>
  <si>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</si>
  <si>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</si>
  <si>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</si>
  <si>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</si>
  <si>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</si>
  <si>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</si>
  <si>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</si>
  <si>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</si>
  <si>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</si>
  <si>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</si>
  <si>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</si>
  <si>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</si>
  <si>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</si>
  <si>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</si>
  <si>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</si>
  <si>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</si>
  <si>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</si>
  <si>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</si>
  <si>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</si>
  <si>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</si>
  <si>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</si>
  <si>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</si>
  <si>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</si>
  <si>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</si>
  <si>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</si>
  <si>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</si>
  <si>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</si>
  <si>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</si>
  <si>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</si>
  <si>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</si>
  <si>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</si>
  <si>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</si>
  <si>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</si>
  <si>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</si>
  <si>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</si>
  <si>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</si>
  <si>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</si>
  <si>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</si>
  <si>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</si>
  <si>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</si>
  <si>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</si>
  <si>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</si>
  <si>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</si>
  <si>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</si>
  <si>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</si>
  <si>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</si>
  <si>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</si>
  <si>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</si>
  <si>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</si>
  <si>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</si>
  <si>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</si>
  <si>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</si>
  <si>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</si>
  <si>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</si>
  <si>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</si>
  <si>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</si>
  <si>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</si>
  <si>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</si>
  <si>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</si>
  <si>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</si>
  <si>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</si>
  <si>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</si>
  <si>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</si>
  <si>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</si>
  <si>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</si>
  <si>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</si>
  <si>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</si>
  <si>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</si>
  <si>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</si>
  <si>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</si>
  <si>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</si>
  <si>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</si>
  <si>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</si>
  <si>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</si>
  <si>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</si>
  <si>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</si>
  <si>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</si>
  <si>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</si>
  <si>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</si>
  <si>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</si>
  <si>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</si>
  <si>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</si>
  <si>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</si>
  <si>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</si>
  <si>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</si>
  <si>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</si>
  <si>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</si>
  <si>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</si>
  <si>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</si>
  <si>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</si>
  <si>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</si>
  <si>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</si>
  <si>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</si>
  <si>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</si>
  <si>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</si>
  <si>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</si>
  <si>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</si>
  <si>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</si>
  <si>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</si>
  <si>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</si>
  <si>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</si>
  <si>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</si>
  <si>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</si>
  <si>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</si>
  <si>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</si>
  <si>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</si>
  <si>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</si>
  <si>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</si>
  <si>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</si>
  <si>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</si>
  <si>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</si>
  <si>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</si>
  <si>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</si>
  <si>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</si>
  <si>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</si>
  <si>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</si>
  <si>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</si>
  <si>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</si>
  <si>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</si>
  <si>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</si>
  <si>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</si>
  <si>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</si>
  <si>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</si>
  <si>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</si>
  <si>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</si>
  <si>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</si>
  <si>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</si>
  <si>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</si>
  <si>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</si>
  <si>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</si>
  <si>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</si>
  <si>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</si>
  <si>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</si>
  <si>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</si>
  <si>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</si>
  <si>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</si>
  <si>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</si>
  <si>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</si>
  <si>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</si>
  <si>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</si>
  <si>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</si>
  <si>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</si>
  <si>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</si>
  <si>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</si>
  <si>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</si>
  <si>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</si>
  <si>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</si>
  <si>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</si>
  <si>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</si>
  <si>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</si>
  <si>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</si>
  <si>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</si>
  <si>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</si>
  <si>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</si>
  <si>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</si>
  <si>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</si>
  <si>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</si>
  <si>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</si>
  <si>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</si>
  <si>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</si>
  <si>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</si>
  <si>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</si>
  <si>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</si>
  <si>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</si>
  <si>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</si>
  <si>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</si>
  <si>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</si>
  <si>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</si>
  <si>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</si>
  <si>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</si>
  <si>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</si>
  <si>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</si>
  <si>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</si>
  <si>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</si>
  <si>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</si>
  <si>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</si>
  <si>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</si>
  <si>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</si>
  <si>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</si>
  <si>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</si>
  <si>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</si>
  <si>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</si>
  <si>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</si>
  <si>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</si>
  <si>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</si>
  <si>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</si>
  <si>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</si>
  <si>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</si>
  <si>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</si>
  <si>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</si>
  <si>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</si>
  <si>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</si>
  <si>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</si>
  <si>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</si>
  <si>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</si>
  <si>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</si>
  <si>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</si>
  <si>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</si>
  <si>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</si>
  <si>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</si>
  <si>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</si>
  <si>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</si>
  <si>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</si>
  <si>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</si>
  <si>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</si>
  <si>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</si>
  <si>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</si>
  <si>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</si>
  <si>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</si>
  <si>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</si>
  <si>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</si>
  <si>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</si>
  <si>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</si>
  <si>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</si>
  <si>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</si>
  <si>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</si>
  <si>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</si>
  <si>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</si>
  <si>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</si>
  <si>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</si>
  <si>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</si>
  <si>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</si>
  <si>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</si>
  <si>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</si>
  <si>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</si>
  <si>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</si>
  <si>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</si>
  <si>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</si>
  <si>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</si>
  <si>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</si>
  <si>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</si>
  <si>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</si>
  <si>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</si>
  <si>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</si>
  <si>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</si>
  <si>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</si>
  <si>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</si>
  <si>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</si>
  <si>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</si>
  <si>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</si>
  <si>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</si>
  <si>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</si>
  <si>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</si>
  <si>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</si>
  <si>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</si>
  <si>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</si>
  <si>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</si>
  <si>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</si>
  <si>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</si>
  <si>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</si>
  <si>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</si>
  <si>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</si>
  <si>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</si>
  <si>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</si>
  <si>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</si>
  <si>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</si>
  <si>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</si>
  <si>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</si>
  <si>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</si>
  <si>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</si>
  <si>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</si>
  <si>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</si>
  <si>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</si>
  <si>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</si>
  <si>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</si>
  <si>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</si>
  <si>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</si>
  <si>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</si>
  <si>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</si>
  <si>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</si>
  <si>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</si>
  <si>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</si>
  <si>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</si>
  <si>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</si>
  <si>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</si>
  <si>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</si>
  <si>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</si>
  <si>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</si>
  <si>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</si>
  <si>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</si>
  <si>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</si>
  <si>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</si>
  <si>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</si>
  <si>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</si>
  <si>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</si>
  <si>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</si>
  <si>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</si>
  <si>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</si>
  <si>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</si>
  <si>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</si>
  <si>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</si>
  <si>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</si>
  <si>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</si>
  <si>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</si>
  <si>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</si>
  <si>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</si>
  <si>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</si>
  <si>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</si>
  <si>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</si>
  <si>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</si>
  <si>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</si>
  <si>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</si>
  <si>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</si>
  <si>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</si>
  <si>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</si>
  <si>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</si>
  <si>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</si>
  <si>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</si>
  <si>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</si>
  <si>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</si>
  <si>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</si>
  <si>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</si>
  <si>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</si>
  <si>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</si>
  <si>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</si>
  <si>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</si>
  <si>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</si>
  <si>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</si>
  <si>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</si>
  <si>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</si>
  <si>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</si>
  <si>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</si>
  <si>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</si>
  <si>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</si>
  <si>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</si>
  <si>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</si>
  <si>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</si>
  <si>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</si>
  <si>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</si>
  <si>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</si>
  <si>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</si>
  <si>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</si>
  <si>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</si>
  <si>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</si>
  <si>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</si>
  <si>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</si>
  <si>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</si>
  <si>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</si>
  <si>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</si>
  <si>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</si>
  <si>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</si>
  <si>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</si>
  <si>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</si>
  <si>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</si>
  <si>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</si>
  <si>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</si>
  <si>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</si>
  <si>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</si>
  <si>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</si>
  <si>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</si>
  <si>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</si>
  <si>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</si>
  <si>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</si>
  <si>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</si>
  <si>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</si>
  <si>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</si>
  <si>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</si>
  <si>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</si>
  <si>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</si>
  <si>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</si>
  <si>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</si>
  <si>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</si>
  <si>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</si>
  <si>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</si>
  <si>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</si>
  <si>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</si>
  <si>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</si>
  <si>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</si>
  <si>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</si>
  <si>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</si>
  <si>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</si>
  <si>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</si>
  <si>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</si>
  <si>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</si>
  <si>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</si>
  <si>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</si>
  <si>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</si>
  <si>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</si>
  <si>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</si>
  <si>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</si>
  <si>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</si>
  <si>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</si>
  <si>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</si>
  <si>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</si>
  <si>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</si>
  <si>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</si>
  <si>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</si>
  <si>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</si>
  <si>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</si>
  <si>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</si>
  <si>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</si>
  <si>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</si>
  <si>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</si>
  <si>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</si>
  <si>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</si>
  <si>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</si>
  <si>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</si>
  <si>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</si>
  <si>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</si>
  <si>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</si>
  <si>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</si>
  <si>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</si>
  <si>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</si>
  <si>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</si>
  <si>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</si>
  <si>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</si>
  <si>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</si>
  <si>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</si>
  <si>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</si>
  <si>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</si>
  <si>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</si>
  <si>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</si>
  <si>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</si>
  <si>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</si>
  <si>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</si>
  <si>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</si>
  <si>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</si>
  <si>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</si>
  <si>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</si>
  <si>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</si>
  <si>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</si>
  <si>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</si>
  <si>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</si>
  <si>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</si>
  <si>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</si>
  <si>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</si>
  <si>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</si>
  <si>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</si>
  <si>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</si>
  <si>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</si>
  <si>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</si>
  <si>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</si>
  <si>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</si>
  <si>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</si>
  <si>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</si>
  <si>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</si>
  <si>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</si>
  <si>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</si>
  <si>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</si>
  <si>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</si>
  <si>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</si>
  <si>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</si>
  <si>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</si>
  <si>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</si>
  <si>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</si>
  <si>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</si>
  <si>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</si>
  <si>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</si>
  <si>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</si>
  <si>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</si>
  <si>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</si>
  <si>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</si>
  <si>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</si>
  <si>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</si>
  <si>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</si>
  <si>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</si>
  <si>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</si>
  <si>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</si>
  <si>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</si>
  <si>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</si>
  <si>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</si>
  <si>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</si>
  <si>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</si>
  <si>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</si>
  <si>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</si>
  <si>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</si>
  <si>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</si>
  <si>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</si>
  <si>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</si>
  <si>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</si>
  <si>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</si>
  <si>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</si>
  <si>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</si>
  <si>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</si>
  <si>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</si>
  <si>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</si>
  <si>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</si>
  <si>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</si>
  <si>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</si>
  <si>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</si>
  <si>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</si>
  <si>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</si>
  <si>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</si>
  <si>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</si>
  <si>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</si>
  <si>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</si>
  <si>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</si>
  <si>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</si>
  <si>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</si>
  <si>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</si>
  <si>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</si>
  <si>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</si>
  <si>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</si>
  <si>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</si>
  <si>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</si>
  <si>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</si>
  <si>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</si>
  <si>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</si>
  <si>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</si>
  <si>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</si>
  <si>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</si>
  <si>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</si>
  <si>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</si>
  <si>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</si>
  <si>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</si>
  <si>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</si>
  <si>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</si>
  <si>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</si>
  <si>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</si>
  <si>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</si>
  <si>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</si>
  <si>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</si>
  <si>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</si>
  <si>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</si>
  <si>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</si>
  <si>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</si>
  <si>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</si>
  <si>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</si>
  <si>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</si>
  <si>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</si>
  <si>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</si>
  <si>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</si>
  <si>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</si>
  <si>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</si>
  <si>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</si>
  <si>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</si>
  <si>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</si>
  <si>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</si>
  <si>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</si>
  <si>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</si>
  <si>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</si>
  <si>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</si>
  <si>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</si>
  <si>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</si>
  <si>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</si>
  <si>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</si>
  <si>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</si>
  <si>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</si>
  <si>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</si>
  <si>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</si>
  <si>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</si>
  <si>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</si>
  <si>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</si>
  <si>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</si>
  <si>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</si>
  <si>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</si>
  <si>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</si>
  <si>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</si>
  <si>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</si>
  <si>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</si>
  <si>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</si>
  <si>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</si>
  <si>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</si>
  <si>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</si>
  <si>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</si>
  <si>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</si>
  <si>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</si>
  <si>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</si>
  <si>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</si>
  <si>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</si>
  <si>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</si>
  <si>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</si>
  <si>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</si>
  <si>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</si>
  <si>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</si>
  <si>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</si>
  <si>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</si>
  <si>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</si>
  <si>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</si>
  <si>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</si>
  <si>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</si>
  <si>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</si>
  <si>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</si>
  <si>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</si>
  <si>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</si>
  <si>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</si>
  <si>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</si>
  <si>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</si>
  <si>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</si>
  <si>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</si>
  <si>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</si>
  <si>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</si>
  <si>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</si>
  <si>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</si>
  <si>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</si>
  <si>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</si>
  <si>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</si>
  <si>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</si>
  <si>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</si>
  <si>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</si>
  <si>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</si>
  <si>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</si>
  <si>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</si>
  <si>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</si>
  <si>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</si>
  <si>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</si>
  <si>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</si>
  <si>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</si>
  <si>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</si>
  <si>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</si>
  <si>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</si>
  <si>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</si>
  <si>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</si>
  <si>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</si>
  <si>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</si>
  <si>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</si>
  <si>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</si>
  <si>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</si>
  <si>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</si>
  <si>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</si>
  <si>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</si>
  <si>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</si>
  <si>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</si>
  <si>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</si>
  <si>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</si>
  <si>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</si>
  <si>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</si>
  <si>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</si>
  <si>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</si>
  <si>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</si>
  <si>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</si>
  <si>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</si>
  <si>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</si>
  <si>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</si>
  <si>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</si>
  <si>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</si>
  <si>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</si>
  <si>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</si>
  <si>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</si>
  <si>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</si>
  <si>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</si>
  <si>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</si>
  <si>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</si>
  <si>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</si>
  <si>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</si>
  <si>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</si>
  <si>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</si>
  <si>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</si>
  <si>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</si>
  <si>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</si>
  <si>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</si>
  <si>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</si>
  <si>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</si>
  <si>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</si>
  <si>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</si>
  <si>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</si>
  <si>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</si>
  <si>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</si>
  <si>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</si>
  <si>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</si>
  <si>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</si>
  <si>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</si>
  <si>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</si>
  <si>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</si>
  <si>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</si>
  <si>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</si>
  <si>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</si>
  <si>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</si>
  <si>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</si>
  <si>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</si>
  <si>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</si>
  <si>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</si>
  <si>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</si>
  <si>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</si>
  <si>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</si>
  <si>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</si>
  <si>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</si>
  <si>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</si>
  <si>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</si>
  <si>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</si>
  <si>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</si>
  <si>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</si>
  <si>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</si>
  <si>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</si>
  <si>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</si>
  <si>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</si>
  <si>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</si>
  <si>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</si>
  <si>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</si>
  <si>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</si>
  <si>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</si>
  <si>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</si>
  <si>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</si>
  <si>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</si>
  <si>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</si>
  <si>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</si>
  <si>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</si>
  <si>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</si>
  <si>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</si>
  <si>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</si>
  <si>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</si>
  <si>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</si>
  <si>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</si>
  <si>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</si>
  <si>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</si>
  <si>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</si>
  <si>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</si>
  <si>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</si>
  <si>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</si>
  <si>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</si>
  <si>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</si>
  <si>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</si>
  <si>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</si>
  <si>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</si>
  <si>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</si>
  <si>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</si>
  <si>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</si>
  <si>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</si>
  <si>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</si>
  <si>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</si>
  <si>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</si>
  <si>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</si>
  <si>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</si>
  <si>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</si>
  <si>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</si>
  <si>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</si>
  <si>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</si>
  <si>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</si>
  <si>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</si>
  <si>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</si>
  <si>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</si>
  <si>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</si>
  <si>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</si>
  <si>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</si>
  <si>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</si>
  <si>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</si>
  <si>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</si>
  <si>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</si>
  <si>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</si>
  <si>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</si>
  <si>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</si>
  <si>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</si>
  <si>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</si>
  <si>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</si>
  <si>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</si>
  <si>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</si>
  <si>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</si>
  <si>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</si>
  <si>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</si>
  <si>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</si>
  <si>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</si>
  <si>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</si>
  <si>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</si>
  <si>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</si>
  <si>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</si>
  <si>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</si>
  <si>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</si>
  <si>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</si>
  <si>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</si>
  <si>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</si>
  <si>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</si>
  <si>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</si>
  <si>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</si>
  <si>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</si>
  <si>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</si>
  <si>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</si>
  <si>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</si>
  <si>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</si>
  <si>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</si>
  <si>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</si>
  <si>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</si>
  <si>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</si>
  <si>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</si>
  <si>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</si>
  <si>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</si>
  <si>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</si>
  <si>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</si>
  <si>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</si>
  <si>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</si>
  <si>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</si>
  <si>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</si>
  <si>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</si>
  <si>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</si>
  <si>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</si>
  <si>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</si>
  <si>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</si>
  <si>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</si>
  <si>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</si>
  <si>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</si>
  <si>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</si>
  <si>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</si>
  <si>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</si>
  <si>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</si>
  <si>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</si>
  <si>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</si>
  <si>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</si>
  <si>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</si>
  <si>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</si>
  <si>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</si>
  <si>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</si>
  <si>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</si>
  <si>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</si>
  <si>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</si>
  <si>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</si>
  <si>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</si>
  <si>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</si>
  <si>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</si>
  <si>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</si>
  <si>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</si>
  <si>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</si>
  <si>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</si>
  <si>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</si>
  <si>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</si>
  <si>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</si>
  <si>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</si>
  <si>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</si>
  <si>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</si>
  <si>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</si>
  <si>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</si>
  <si>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</si>
  <si>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</si>
  <si>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</si>
  <si>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</si>
  <si>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</si>
  <si>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</si>
  <si>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</si>
  <si>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</si>
  <si>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</si>
  <si>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</si>
  <si>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</si>
  <si>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</si>
  <si>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</si>
  <si>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</si>
  <si>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</si>
  <si>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</si>
  <si>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</si>
  <si>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</si>
  <si>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</si>
  <si>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</si>
  <si>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</si>
  <si>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</si>
  <si>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</si>
  <si>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</si>
  <si>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</si>
  <si>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</si>
  <si>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</si>
  <si>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</si>
  <si>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</si>
  <si>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</si>
  <si>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</si>
  <si>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</si>
  <si>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</si>
  <si>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</si>
  <si>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</si>
  <si>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</si>
  <si>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</si>
  <si>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</si>
  <si>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</si>
  <si>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</si>
  <si>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</si>
  <si>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</si>
  <si>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</si>
  <si>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</si>
  <si>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</si>
  <si>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</si>
  <si>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</si>
  <si>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</si>
  <si>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</si>
  <si>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</si>
  <si>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</si>
  <si>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</si>
  <si>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</si>
  <si>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</si>
  <si>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</si>
  <si>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</si>
  <si>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</si>
  <si>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</si>
  <si>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</si>
  <si>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</si>
  <si>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</si>
  <si>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</si>
  <si>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</si>
  <si>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</si>
  <si>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</si>
  <si>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</si>
  <si>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</si>
  <si>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</si>
  <si>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</si>
  <si>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</si>
  <si>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</si>
  <si>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</si>
  <si>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</si>
  <si>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</si>
  <si>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</si>
  <si>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</si>
  <si>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</si>
  <si>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</si>
  <si>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</si>
  <si>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</si>
  <si>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</si>
  <si>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</si>
  <si>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</si>
  <si>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</si>
  <si>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</si>
  <si>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</si>
  <si>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</si>
  <si>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</si>
  <si>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</si>
  <si>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</si>
  <si>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</si>
  <si>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</si>
  <si>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</si>
  <si>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</si>
  <si>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</si>
  <si>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</si>
  <si>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</si>
  <si>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</si>
  <si>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</si>
  <si>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</si>
  <si>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</si>
  <si>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</si>
  <si>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</si>
  <si>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</si>
  <si>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</si>
  <si>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</si>
  <si>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</si>
  <si>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</si>
  <si>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</si>
  <si>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</si>
  <si>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</si>
  <si>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</si>
  <si>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</si>
  <si>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</si>
  <si>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</si>
  <si>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</si>
  <si>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</si>
  <si>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</si>
  <si>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</si>
  <si>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</si>
  <si>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</si>
  <si>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</si>
  <si>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</si>
  <si>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</si>
  <si>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</si>
  <si>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</si>
  <si>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</si>
  <si>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</si>
  <si>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</si>
  <si>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</si>
  <si>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</si>
  <si>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</si>
  <si>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</si>
  <si>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</si>
  <si>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</si>
  <si>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</si>
  <si>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</si>
  <si>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</si>
  <si>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</si>
  <si>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</si>
  <si>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</si>
  <si>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</si>
  <si>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</si>
  <si>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</si>
  <si>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</si>
  <si>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</si>
  <si>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</si>
  <si>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</si>
  <si>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</si>
  <si>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</si>
  <si>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</si>
  <si>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</si>
  <si>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</si>
  <si>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</si>
  <si>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</si>
  <si>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</si>
  <si>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</si>
  <si>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</si>
  <si>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</si>
  <si>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</si>
  <si>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</si>
  <si>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</si>
  <si>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</si>
  <si>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</si>
  <si>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</si>
  <si>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</si>
  <si>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</si>
  <si>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</si>
  <si>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</si>
  <si>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</si>
  <si>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</si>
  <si>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</si>
  <si>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</si>
  <si>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</si>
  <si>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</si>
  <si>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</si>
  <si>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</si>
  <si>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</si>
  <si>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</si>
  <si>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</si>
  <si>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</si>
  <si>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</si>
  <si>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</si>
  <si>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</si>
  <si>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</si>
  <si>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</si>
  <si>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</si>
  <si>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</si>
  <si>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</si>
  <si>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</si>
  <si>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</si>
  <si>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</si>
  <si>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</si>
  <si>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</si>
  <si>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</si>
  <si>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</si>
  <si>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</si>
  <si>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</si>
  <si>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</si>
  <si>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</si>
  <si>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</si>
  <si>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</si>
  <si>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</si>
  <si>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</si>
  <si>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</si>
  <si>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</si>
  <si>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</si>
  <si>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</si>
  <si>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</si>
  <si>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</si>
  <si>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</si>
  <si>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</si>
  <si>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</si>
  <si>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</si>
  <si>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</si>
  <si>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</si>
  <si>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</si>
  <si>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</si>
  <si>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</si>
  <si>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</si>
  <si>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</si>
  <si>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</si>
  <si>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</si>
  <si>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</si>
  <si>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</si>
  <si>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</si>
  <si>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</si>
  <si>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</si>
  <si>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</si>
  <si>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</si>
  <si>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</si>
  <si>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</si>
  <si>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</si>
  <si>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</si>
  <si>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</si>
  <si>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</si>
  <si>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</si>
  <si>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</si>
  <si>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</si>
  <si>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</si>
  <si>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</si>
  <si>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</si>
  <si>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</si>
  <si>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</si>
  <si>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</si>
  <si>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</si>
  <si>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</si>
  <si>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</si>
  <si>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</si>
  <si>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</si>
  <si>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</si>
  <si>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</si>
  <si>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</si>
  <si>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</si>
  <si>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</si>
  <si>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</si>
  <si>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</si>
  <si>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</si>
  <si>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</si>
  <si>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</si>
  <si>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</si>
  <si>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</si>
  <si>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</si>
  <si>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</si>
  <si>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</si>
  <si>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</si>
  <si>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</si>
  <si>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</si>
  <si>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</si>
  <si>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</si>
  <si>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</si>
  <si>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</si>
  <si>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</si>
  <si>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</si>
  <si>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</si>
  <si>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</si>
  <si>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</si>
  <si>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</si>
  <si>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</si>
  <si>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</si>
  <si>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</si>
  <si>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</si>
  <si>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</si>
  <si>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</si>
  <si>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</si>
  <si>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</si>
  <si>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</si>
  <si>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</si>
  <si>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</si>
  <si>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</si>
  <si>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</si>
  <si>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</si>
  <si>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</si>
  <si>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</si>
  <si>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</si>
  <si>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</si>
  <si>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</si>
  <si>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</si>
  <si>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</si>
  <si>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</si>
  <si>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</si>
  <si>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</si>
  <si>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</si>
  <si>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</si>
  <si>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</si>
  <si>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</si>
  <si>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</si>
  <si>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</si>
  <si>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</si>
  <si>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</si>
  <si>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</si>
  <si>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</si>
  <si>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</si>
  <si>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</si>
  <si>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</si>
  <si>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</si>
  <si>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</si>
  <si>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</si>
  <si>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</si>
  <si>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</si>
  <si>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</si>
  <si>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</si>
  <si>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</si>
  <si>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</si>
  <si>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</si>
  <si>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</si>
  <si>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</si>
  <si>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</si>
  <si>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</si>
  <si>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</si>
  <si>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</si>
  <si>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</si>
  <si>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</si>
  <si>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</si>
  <si>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</si>
  <si>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</si>
  <si>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</si>
  <si>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</si>
  <si>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</si>
  <si>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</si>
  <si>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</si>
  <si>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</si>
  <si>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</si>
  <si>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</si>
  <si>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</si>
  <si>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</si>
  <si>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</si>
  <si>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</si>
  <si>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</si>
  <si>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</si>
  <si>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</si>
  <si>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</si>
  <si>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</si>
  <si>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</si>
  <si>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</si>
  <si>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</si>
  <si>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</si>
  <si>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</si>
  <si>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</si>
  <si>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</si>
  <si>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</si>
  <si>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</si>
  <si>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</si>
  <si>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</si>
  <si>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</si>
  <si>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</si>
  <si>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</si>
  <si>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</si>
  <si>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</si>
  <si>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</si>
  <si>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</si>
  <si>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</si>
  <si>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</si>
  <si>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</si>
  <si>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</si>
  <si>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</si>
  <si>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</si>
  <si>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</si>
  <si>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</si>
  <si>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</si>
  <si>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</si>
  <si>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</si>
  <si>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</si>
  <si>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</si>
  <si>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</si>
  <si>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</si>
  <si>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</si>
  <si>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</si>
  <si>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</si>
  <si>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</si>
  <si>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</si>
  <si>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</si>
  <si>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</si>
  <si>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</si>
  <si>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</si>
  <si>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</si>
  <si>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</si>
  <si>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</si>
  <si>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</si>
  <si>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</si>
  <si>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</si>
  <si>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</si>
  <si>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</si>
  <si>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</si>
  <si>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</si>
  <si>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</si>
  <si>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</si>
  <si>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</si>
  <si>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</si>
  <si>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</si>
  <si>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</si>
  <si>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</si>
  <si>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</si>
  <si>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</si>
  <si>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</si>
  <si>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</si>
  <si>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</si>
  <si>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</si>
  <si>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</si>
  <si>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</si>
  <si>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</si>
  <si>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</si>
  <si>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</si>
  <si>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</si>
  <si>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</si>
  <si>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</si>
  <si>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</si>
  <si>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</si>
  <si>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</si>
  <si>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</si>
  <si>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</si>
  <si>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</si>
  <si>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</si>
  <si>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</si>
  <si>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</si>
  <si>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</si>
  <si>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</si>
  <si>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</si>
  <si>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</si>
  <si>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</si>
  <si>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</si>
  <si>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</si>
  <si>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</si>
  <si>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</si>
  <si>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</si>
  <si>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</si>
  <si>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</si>
  <si>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</si>
  <si>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</si>
  <si>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</si>
  <si>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</si>
  <si>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</si>
  <si>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</si>
  <si>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</si>
  <si>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</si>
  <si>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</si>
  <si>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</si>
  <si>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</si>
  <si>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</si>
  <si>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</si>
  <si>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</si>
  <si>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</si>
  <si>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</si>
  <si>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</si>
  <si>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</si>
  <si>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</si>
  <si>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</si>
  <si>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</si>
  <si>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</si>
  <si>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</si>
  <si>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</si>
  <si>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</si>
  <si>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</si>
  <si>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</si>
  <si>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</si>
  <si>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</si>
  <si>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</si>
  <si>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</si>
  <si>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</si>
  <si>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</si>
  <si>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</si>
  <si>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</si>
  <si>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</si>
  <si>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</si>
  <si>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</si>
  <si>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</si>
  <si>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</si>
  <si>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</si>
  <si>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</si>
  <si>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</si>
  <si>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</si>
  <si>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</si>
  <si>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</si>
  <si>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</si>
  <si>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</si>
  <si>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</si>
  <si>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</si>
  <si>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</si>
  <si>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</si>
  <si>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</si>
  <si>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</si>
  <si>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</si>
  <si>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</si>
  <si>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</si>
  <si>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</si>
  <si>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</si>
  <si>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</si>
  <si>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</si>
  <si>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</si>
  <si>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</si>
  <si>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</si>
  <si>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</si>
  <si>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</si>
  <si>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</si>
  <si>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</si>
  <si>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</si>
  <si>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</si>
  <si>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</si>
  <si>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</si>
  <si>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</si>
  <si>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</si>
  <si>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</si>
  <si>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</si>
  <si>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</si>
  <si>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</si>
  <si>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</si>
  <si>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</si>
  <si>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</si>
  <si>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</si>
  <si>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</si>
  <si>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</si>
  <si>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</si>
  <si>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</si>
  <si>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</si>
  <si>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</si>
  <si>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</si>
  <si>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</si>
  <si>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</si>
  <si>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</si>
  <si>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</si>
  <si>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</si>
  <si>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</si>
  <si>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</si>
  <si>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</si>
  <si>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</si>
  <si>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</si>
  <si>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</si>
  <si>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</si>
  <si>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</si>
  <si>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</si>
  <si>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</si>
  <si>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</si>
  <si>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</si>
  <si>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</si>
  <si>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</si>
  <si>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</si>
  <si>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</si>
  <si>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</si>
  <si>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</si>
  <si>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</si>
  <si>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</si>
  <si>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</si>
  <si>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</si>
  <si>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</si>
  <si>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</si>
  <si>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</si>
  <si>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</si>
  <si>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</si>
  <si>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</si>
  <si>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</si>
  <si>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</si>
  <si>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</si>
  <si>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</si>
  <si>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</si>
  <si>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</si>
  <si>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</si>
  <si>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</si>
  <si>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</si>
  <si>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</si>
  <si>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</si>
  <si>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</si>
  <si>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</si>
  <si>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</si>
  <si>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</si>
  <si>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</si>
  <si>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</si>
  <si>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</si>
  <si>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</si>
  <si>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</si>
  <si>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</si>
  <si>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</si>
  <si>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</si>
  <si>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</si>
  <si>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</si>
  <si>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</si>
  <si>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</si>
  <si>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</si>
  <si>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</si>
  <si>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</si>
  <si>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</si>
  <si>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</si>
  <si>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</si>
  <si>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</si>
  <si>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</si>
  <si>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</si>
  <si>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</si>
  <si>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</si>
  <si>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</si>
  <si>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</si>
  <si>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</si>
  <si>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</si>
  <si>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</si>
  <si>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</si>
  <si>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</si>
  <si>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</si>
  <si>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</si>
  <si>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</si>
  <si>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</si>
  <si>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</si>
  <si>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</si>
  <si>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</si>
  <si>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</si>
  <si>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</si>
  <si>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</si>
  <si>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</si>
  <si>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</si>
  <si>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</si>
  <si>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</si>
  <si>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</si>
  <si>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</si>
  <si>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</si>
  <si>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</si>
  <si>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</si>
  <si>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</si>
  <si>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</si>
  <si>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</si>
  <si>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</si>
  <si>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</si>
  <si>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</si>
  <si>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</si>
  <si>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</si>
  <si>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</si>
  <si>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</si>
  <si>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</si>
  <si>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</si>
  <si>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</si>
  <si>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</si>
  <si>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</si>
  <si>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</si>
  <si>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</si>
  <si>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</si>
  <si>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</si>
  <si>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</si>
  <si>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</si>
  <si>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</si>
  <si>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</si>
  <si>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</si>
  <si>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</si>
  <si>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</si>
  <si>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</si>
  <si>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</si>
  <si>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</si>
  <si>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</si>
  <si>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</si>
  <si>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</si>
  <si>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</si>
  <si>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</si>
  <si>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</si>
  <si>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</si>
  <si>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</si>
  <si>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</si>
  <si>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</si>
  <si>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</si>
  <si>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</si>
  <si>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</si>
  <si>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</si>
  <si>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</si>
  <si>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</si>
  <si>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</si>
  <si>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</si>
  <si>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</si>
  <si>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</si>
  <si>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</si>
  <si>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</si>
  <si>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</si>
  <si>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</si>
  <si>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</si>
  <si>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</si>
  <si>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</si>
  <si>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</si>
  <si>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</si>
  <si>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</si>
  <si>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</si>
  <si>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</si>
  <si>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</si>
  <si>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</si>
  <si>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</si>
  <si>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</si>
  <si>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</si>
  <si>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</si>
  <si>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</si>
  <si>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</si>
  <si>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</si>
  <si>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</si>
  <si>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</si>
  <si>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</si>
  <si>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</si>
  <si>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</si>
  <si>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</si>
  <si>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</si>
  <si>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</si>
  <si>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</si>
  <si>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</si>
  <si>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</si>
  <si>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</si>
  <si>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</si>
  <si>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</si>
  <si>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</si>
  <si>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</si>
  <si>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</si>
  <si>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</si>
  <si>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</si>
  <si>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</si>
  <si>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</si>
  <si>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</si>
  <si>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</si>
  <si>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</si>
  <si>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</si>
  <si>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</si>
  <si>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</si>
  <si>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</si>
  <si>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</si>
  <si>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</si>
  <si>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</si>
  <si>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</si>
  <si>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</si>
  <si>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</si>
  <si>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</si>
  <si>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</si>
  <si>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</si>
  <si>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</si>
  <si>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</si>
  <si>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</si>
  <si>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</si>
  <si>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</si>
  <si>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</si>
  <si>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</si>
  <si>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</si>
  <si>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</si>
  <si>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</si>
  <si>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</si>
  <si>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</si>
  <si>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</si>
  <si>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</si>
  <si>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</si>
  <si>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</si>
  <si>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</si>
  <si>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</si>
  <si>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</si>
  <si>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</si>
  <si>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</si>
  <si>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</si>
  <si>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</si>
  <si>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</si>
  <si>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</si>
  <si>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</si>
  <si>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</si>
  <si>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</si>
  <si>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</si>
  <si>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</si>
  <si>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</si>
  <si>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</si>
  <si>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</si>
  <si>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</si>
  <si>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</si>
  <si>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</si>
  <si>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</si>
  <si>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</si>
  <si>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</si>
  <si>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</si>
  <si>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</si>
  <si>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</si>
  <si>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</si>
  <si>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</si>
  <si>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</si>
  <si>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</si>
  <si>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</si>
  <si>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</si>
  <si>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</si>
  <si>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</si>
  <si>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</si>
  <si>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</si>
  <si>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</si>
  <si>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</si>
  <si>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</si>
  <si>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</si>
  <si>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</si>
  <si>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</si>
  <si>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</si>
  <si>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</si>
  <si>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</si>
  <si>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</si>
  <si>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</si>
  <si>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</si>
  <si>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</si>
  <si>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</si>
  <si>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</si>
  <si>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</si>
  <si>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</si>
  <si>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</si>
  <si>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</si>
  <si>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</si>
  <si>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</si>
  <si>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</si>
  <si>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</si>
  <si>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</si>
  <si>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</si>
  <si>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</si>
  <si>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</si>
  <si>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</si>
  <si>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</si>
  <si>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</si>
  <si>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</si>
  <si>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</si>
  <si>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</si>
  <si>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</si>
  <si>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</si>
  <si>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</si>
  <si>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</si>
  <si>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</si>
  <si>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</si>
  <si>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</si>
  <si>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</si>
  <si>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</si>
  <si>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</si>
  <si>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</si>
  <si>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</si>
  <si>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</si>
  <si>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</si>
  <si>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</si>
  <si>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</si>
  <si>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</si>
  <si>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</si>
  <si>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</si>
  <si>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</si>
  <si>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</si>
  <si>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</si>
  <si>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</si>
  <si>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</si>
  <si>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</si>
  <si>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</si>
  <si>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</si>
  <si>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</si>
  <si>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</si>
  <si>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</si>
  <si>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</si>
  <si>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</si>
  <si>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</si>
  <si>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</si>
  <si>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</si>
  <si>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</si>
  <si>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</si>
  <si>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</si>
  <si>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</si>
  <si>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</si>
  <si>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</si>
  <si>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</si>
  <si>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</si>
  <si>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</si>
  <si>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</si>
  <si>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</si>
  <si>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</si>
  <si>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</si>
  <si>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</si>
  <si>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</si>
  <si>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</si>
  <si>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</si>
  <si>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</si>
  <si>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</si>
  <si>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</si>
  <si>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</si>
  <si>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</si>
  <si>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</si>
  <si>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</si>
  <si>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</si>
  <si>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</si>
  <si>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</si>
  <si>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</si>
  <si>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</si>
  <si>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</si>
  <si>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</si>
  <si>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</si>
  <si>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</si>
  <si>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</si>
  <si>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</si>
  <si>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</si>
  <si>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</si>
  <si>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</si>
  <si>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</si>
  <si>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</si>
  <si>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</si>
  <si>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</si>
  <si>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</si>
  <si>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</si>
  <si>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</si>
  <si>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</si>
  <si>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</si>
  <si>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</si>
  <si>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</si>
  <si>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</si>
  <si>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</si>
  <si>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</si>
  <si>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</si>
  <si>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</si>
  <si>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</si>
  <si>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</si>
  <si>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</si>
  <si>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</si>
  <si>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</si>
  <si>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</si>
  <si>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</si>
  <si>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</si>
  <si>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</si>
  <si>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</si>
  <si>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</si>
  <si>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</si>
  <si>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</si>
  <si>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</si>
  <si>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</si>
  <si>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</si>
  <si>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</si>
  <si>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</si>
  <si>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</si>
  <si>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</si>
  <si>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</si>
  <si>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</si>
  <si>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</si>
  <si>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</si>
  <si>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</si>
  <si>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</si>
  <si>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</si>
  <si>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</si>
  <si>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</si>
  <si>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</si>
  <si>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</si>
  <si>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</si>
  <si>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</si>
  <si>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</si>
  <si>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</si>
  <si>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</si>
  <si>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</si>
  <si>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</si>
  <si>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</si>
  <si>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</si>
  <si>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</si>
  <si>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</si>
  <si>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</si>
  <si>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</si>
  <si>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</si>
  <si>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</si>
  <si>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</si>
  <si>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</si>
  <si>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</si>
  <si>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</si>
  <si>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</si>
  <si>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</si>
  <si>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</si>
  <si>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</si>
  <si>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</si>
  <si>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</si>
  <si>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</si>
  <si>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</si>
  <si>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</si>
  <si>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</si>
  <si>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</si>
  <si>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</si>
  <si>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</si>
  <si>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</si>
  <si>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</si>
  <si>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</si>
  <si>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</si>
  <si>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</si>
  <si>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</si>
  <si>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</si>
  <si>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</si>
  <si>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</si>
  <si>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</si>
  <si>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</si>
  <si>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</si>
  <si>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</si>
  <si>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</si>
  <si>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</si>
  <si>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</si>
  <si>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</si>
  <si>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</si>
  <si>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</si>
  <si>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</si>
  <si>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</si>
  <si>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</si>
  <si>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</si>
  <si>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</si>
  <si>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</si>
  <si>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</si>
  <si>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</si>
  <si>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</si>
  <si>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</si>
  <si>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</si>
  <si>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</si>
  <si>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</si>
  <si>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</si>
  <si>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</si>
  <si>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</si>
  <si>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</si>
  <si>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</si>
  <si>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</si>
  <si>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</si>
  <si>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</si>
  <si>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</si>
  <si>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</si>
  <si>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</si>
  <si>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</si>
  <si>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</si>
  <si>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</si>
  <si>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</si>
  <si>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</si>
  <si>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</si>
  <si>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</si>
  <si>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</si>
  <si>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</si>
  <si>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</si>
  <si>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</si>
  <si>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</si>
  <si>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</si>
  <si>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</si>
  <si>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</si>
  <si>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</si>
  <si>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</si>
  <si>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</si>
  <si>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</si>
  <si>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</si>
  <si>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</si>
  <si>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</si>
  <si>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</si>
  <si>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</si>
  <si>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</si>
  <si>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</si>
  <si>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</si>
  <si>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</si>
  <si>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</si>
  <si>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</si>
  <si>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</si>
  <si>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</si>
  <si>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</si>
  <si>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</si>
  <si>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</si>
  <si>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</si>
  <si>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</si>
  <si>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</si>
  <si>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</si>
  <si>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</si>
  <si>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</si>
  <si>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</si>
  <si>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</si>
  <si>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</si>
  <si>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</si>
  <si>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</si>
  <si>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</si>
  <si>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</si>
  <si>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</si>
  <si>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</si>
  <si>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</si>
  <si>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</si>
  <si>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</si>
  <si>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</si>
  <si>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</si>
  <si>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</si>
  <si>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</si>
  <si>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</si>
  <si>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</si>
  <si>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</si>
  <si>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</si>
  <si>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</si>
  <si>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</si>
  <si>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</si>
  <si>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</si>
  <si>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</si>
  <si>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</si>
  <si>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</si>
  <si>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</si>
  <si>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</si>
  <si>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</si>
  <si>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</si>
  <si>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</si>
  <si>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</si>
  <si>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</si>
  <si>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</si>
  <si>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</si>
  <si>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</si>
  <si>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</si>
  <si>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</si>
  <si>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</si>
  <si>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</si>
  <si>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</si>
  <si>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</si>
  <si>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</si>
  <si>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</si>
  <si>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</si>
  <si>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</si>
  <si>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</si>
  <si>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</si>
  <si>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</si>
  <si>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</si>
  <si>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</si>
  <si>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</si>
  <si>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</si>
  <si>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</si>
  <si>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</si>
  <si>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</si>
  <si>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</si>
  <si>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</si>
  <si>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</si>
  <si>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</si>
  <si>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</si>
  <si>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</si>
  <si>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</si>
  <si>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</si>
  <si>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</si>
  <si>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</si>
  <si>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</si>
  <si>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</si>
  <si>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</si>
  <si>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</si>
  <si>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</si>
  <si>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</si>
  <si>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</si>
  <si>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</si>
  <si>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</si>
  <si>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</si>
  <si>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</si>
  <si>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</si>
  <si>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</si>
  <si>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</si>
  <si>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</si>
  <si>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</si>
  <si>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</si>
  <si>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</si>
  <si>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</si>
  <si>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</si>
  <si>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</si>
  <si>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</si>
  <si>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</si>
  <si>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</si>
  <si>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</si>
  <si>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</si>
  <si>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</si>
  <si>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</si>
  <si>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</si>
  <si>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</si>
  <si>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</si>
  <si>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</si>
  <si>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</si>
  <si>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</si>
  <si>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</si>
  <si>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</si>
  <si>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</si>
  <si>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</si>
  <si>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</si>
  <si>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</si>
  <si>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</si>
  <si>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</si>
  <si>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</si>
  <si>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</si>
  <si>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</si>
  <si>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</si>
  <si>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</si>
  <si>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</si>
  <si>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</si>
  <si>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</si>
  <si>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</si>
  <si>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</si>
  <si>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</si>
  <si>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</si>
  <si>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</si>
  <si>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</si>
  <si>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</si>
  <si>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</si>
  <si>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</si>
  <si>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</si>
  <si>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</si>
  <si>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</si>
  <si>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</si>
  <si>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</si>
  <si>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</si>
  <si>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</si>
  <si>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</si>
  <si>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</si>
  <si>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</si>
  <si>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</si>
  <si>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</si>
  <si>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</si>
  <si>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</si>
  <si>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</si>
  <si>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</si>
  <si>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</si>
  <si>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</si>
  <si>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</si>
  <si>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</si>
  <si>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</si>
  <si>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</si>
  <si>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</si>
  <si>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</si>
  <si>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</si>
  <si>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</si>
  <si>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</si>
  <si>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</si>
  <si>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</si>
  <si>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</si>
  <si>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</si>
  <si>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</si>
  <si>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</si>
  <si>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</si>
  <si>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</si>
  <si>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</si>
  <si>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</si>
  <si>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</si>
  <si>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</si>
  <si>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</si>
  <si>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</si>
  <si>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</si>
  <si>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</si>
  <si>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</si>
  <si>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</si>
  <si>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</si>
  <si>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</si>
  <si>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</si>
  <si>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</si>
  <si>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</si>
  <si>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</si>
  <si>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</si>
  <si>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</si>
  <si>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</si>
  <si>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</si>
  <si>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</si>
  <si>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</si>
  <si>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</si>
  <si>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</si>
  <si>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</si>
  <si>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</si>
  <si>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</si>
  <si>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</si>
  <si>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</si>
  <si>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</si>
  <si>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</si>
  <si>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</si>
  <si>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</si>
  <si>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</si>
  <si>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</si>
  <si>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</si>
  <si>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</si>
  <si>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</si>
  <si>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</si>
  <si>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</si>
  <si>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</si>
  <si>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</si>
  <si>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</si>
  <si>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</si>
  <si>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</si>
  <si>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</si>
  <si>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</si>
  <si>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Vincent Associates</t>
  </si>
  <si>
    <t>Steven Inman</t>
  </si>
  <si>
    <t>sinman@uniblitz.com</t>
  </si>
  <si>
    <t>585-385-5930 ext.122</t>
  </si>
  <si>
    <t>Stephen Pasquarella</t>
  </si>
  <si>
    <t>spasq@uniblitz.com</t>
  </si>
  <si>
    <t xml:space="preserve">Warren </t>
  </si>
  <si>
    <t>Changsha South Tantalum Niobium Co., Ltd</t>
  </si>
  <si>
    <t>CID 002504</t>
  </si>
  <si>
    <t>Funsur</t>
  </si>
  <si>
    <t>CFSI</t>
  </si>
  <si>
    <t>CID01076</t>
  </si>
  <si>
    <t>Sao Joao del Rei</t>
  </si>
  <si>
    <t>Penang</t>
  </si>
  <si>
    <t>Taboca</t>
  </si>
  <si>
    <t>BOLIVIA</t>
  </si>
  <si>
    <t>Cercado</t>
  </si>
  <si>
    <t>PT Bangka Putra Karya</t>
  </si>
  <si>
    <t>CID001412</t>
  </si>
  <si>
    <t>Rondonia</t>
  </si>
  <si>
    <t>Yunnan Chengfeng Non-ferrous Metals Co.,Ltd.</t>
  </si>
  <si>
    <t>Geiju</t>
  </si>
  <si>
    <t>Yunnan</t>
  </si>
  <si>
    <t>PT Belitung Industri Sejahtera</t>
  </si>
  <si>
    <t>CID001421</t>
  </si>
  <si>
    <t>Kepulauan</t>
  </si>
  <si>
    <t>Bangka</t>
  </si>
  <si>
    <t>Thailand Smelting &amp; Refining Co., Ltd</t>
  </si>
  <si>
    <t>Mentok Smelter (PT Timah)</t>
  </si>
  <si>
    <t>PT Timah (Persero), Tbk</t>
  </si>
  <si>
    <t>Indonesia State Tin Corporation, MentokSmelter</t>
  </si>
  <si>
    <t>PT Stanindo Inti Perkasa</t>
  </si>
  <si>
    <t>CID001468</t>
  </si>
  <si>
    <t>Pangkal Pinang</t>
  </si>
  <si>
    <t>Liuzhou China Tin</t>
  </si>
  <si>
    <t>Smelting Branch of Yunnan Tin Company Limited</t>
  </si>
  <si>
    <t>CV DS Jaya Abadi</t>
  </si>
  <si>
    <t>PT DS Jaya Abadi</t>
  </si>
  <si>
    <t>CID001434</t>
  </si>
  <si>
    <t>CV United Smelting</t>
  </si>
  <si>
    <t>CID000315</t>
  </si>
  <si>
    <t>Gejiu Non-Ferrous Metal Processing Co. Ltd.</t>
  </si>
  <si>
    <t>Novosibirsk Integrated Tin Works</t>
  </si>
  <si>
    <t>CID001305</t>
  </si>
  <si>
    <t>PT Eunindo Usaha Mandiri</t>
  </si>
  <si>
    <t>CID001438</t>
  </si>
  <si>
    <t>Karimun</t>
  </si>
  <si>
    <t>PT Tinindo Inter Nusa</t>
  </si>
  <si>
    <t>CID001490</t>
  </si>
  <si>
    <t>Minmetals Ganzhou Tin Co. Ltd.</t>
  </si>
  <si>
    <t>CID001179</t>
  </si>
  <si>
    <t>Riau Islands</t>
  </si>
  <si>
    <t>PT Bangka Tin Industry</t>
  </si>
  <si>
    <t>CID001419</t>
  </si>
  <si>
    <t>Shandong Zhaojin Gold &amp; Silver Refinery Co. Ltd</t>
  </si>
  <si>
    <t>UNITED STATES</t>
  </si>
  <si>
    <t>Argor-Heraeus SA</t>
  </si>
  <si>
    <t>Henan</t>
  </si>
  <si>
    <t>Shandong Gold Mining (Laizhou)</t>
  </si>
  <si>
    <t>The Refinery of Shandong Gold Mining Co. Ltd</t>
  </si>
  <si>
    <t>Hong Kong</t>
  </si>
  <si>
    <t>Western Australian Mint trading as The Perth Mint</t>
  </si>
  <si>
    <t>Kansai</t>
  </si>
  <si>
    <t>Ulsan</t>
  </si>
  <si>
    <t>Metalor Technologies (Hong Kong) Ltd</t>
  </si>
  <si>
    <t>Johnson Matthey (Salt Lake City)</t>
  </si>
  <si>
    <t>Johnson Matthey Inc</t>
  </si>
  <si>
    <t>Asahi Pretec Corporation</t>
  </si>
  <si>
    <t>Yantai</t>
  </si>
  <si>
    <t>Manila</t>
  </si>
  <si>
    <t>Jiangxi Copper Company Limited</t>
  </si>
  <si>
    <t>Jiangxi</t>
  </si>
  <si>
    <t>www.uniblitz.com</t>
  </si>
  <si>
    <t>President</t>
  </si>
  <si>
    <t>585-385-5930 ext. 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</si>
</sst>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0" borderId="48" xfId="0" applyBorder="1" applyAlignment="1" applyProtection="1">
      <alignment horizontal="left" vertical="center"/>
      <protection locked="0"/>
    </xf>
    <xf numFmtId="0" fontId="0" fillId="0" borderId="48" xfId="0" applyBorder="1" applyAlignment="1" applyProtection="1">
      <alignment horizontal="left" vertical="center"/>
      <protection locked="0" hidden="1"/>
    </xf>
    <xf numFmtId="0" fontId="0" fillId="33" borderId="53" xfId="0" applyFill="1" applyBorder="1" applyAlignment="1" applyProtection="1">
      <alignment horizontal="left" vertical="center"/>
      <protection locked="0" hidden="1"/>
    </xf>
    <xf numFmtId="0" fontId="0" fillId="33" borderId="42" xfId="0" applyFill="1" applyBorder="1" applyAlignment="1" applyProtection="1">
      <alignment horizontal="left" vertical="center"/>
      <protection locked="0" hidden="1"/>
    </xf>
    <xf numFmtId="49" fontId="0" fillId="0" borderId="0" xfId="0" applyNumberFormat="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inman@uniblitz.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uniblitz.com/" TargetMode="External"/><Relationship Id="rId4" Type="http://schemas.openxmlformats.org/officeDocument/2006/relationships/hyperlink" Target="mailto:spasq@uniblitz.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2"/>
      <c r="B2" s="38" t="s">
        <v>870</v>
      </c>
      <c r="C2" s="36"/>
      <c r="D2" s="208"/>
      <c r="E2" s="3"/>
      <c r="F2" s="36"/>
      <c r="G2" s="34"/>
    </row>
    <row r="3" spans="1:7">
      <c r="A3" s="362"/>
      <c r="B3" s="5" t="s">
        <v>862</v>
      </c>
      <c r="C3" s="6"/>
      <c r="D3" s="209"/>
      <c r="E3" s="3"/>
      <c r="F3" s="6"/>
      <c r="G3" s="34"/>
    </row>
    <row r="4" spans="1:7" ht="15.75">
      <c r="A4" s="362"/>
      <c r="B4" s="41" t="s">
        <v>872</v>
      </c>
      <c r="C4" s="7"/>
      <c r="D4" s="210"/>
      <c r="E4" s="3"/>
      <c r="F4" s="7"/>
      <c r="G4" s="34"/>
    </row>
    <row r="5" spans="1:7">
      <c r="A5" s="362"/>
      <c r="B5" s="40" t="s">
        <v>1063</v>
      </c>
      <c r="C5" s="4"/>
      <c r="D5" s="211"/>
      <c r="E5" s="3"/>
      <c r="F5" s="4"/>
      <c r="G5" s="34"/>
    </row>
    <row r="6" spans="1:7">
      <c r="A6" s="362"/>
      <c r="B6" s="8"/>
      <c r="C6" s="8"/>
      <c r="D6" s="212"/>
      <c r="E6" s="8"/>
      <c r="F6" s="8"/>
      <c r="G6" s="34"/>
    </row>
    <row r="7" spans="1:7">
      <c r="A7" s="362"/>
      <c r="B7" s="8"/>
      <c r="C7" s="8"/>
      <c r="D7" s="212"/>
      <c r="E7" s="8"/>
      <c r="F7" s="8"/>
      <c r="G7" s="34"/>
    </row>
    <row r="8" spans="1:7">
      <c r="A8" s="362"/>
      <c r="B8" s="8"/>
      <c r="C8" s="8"/>
      <c r="D8" s="212"/>
      <c r="E8" s="8"/>
      <c r="F8" s="8"/>
      <c r="G8" s="34"/>
    </row>
    <row r="9" spans="1:7">
      <c r="A9" s="362"/>
      <c r="B9" s="365" t="s">
        <v>873</v>
      </c>
      <c r="C9" s="365"/>
      <c r="D9" s="365"/>
      <c r="E9" s="365"/>
      <c r="F9" s="365"/>
      <c r="G9" s="34"/>
    </row>
    <row r="10" spans="1:7" ht="27" customHeight="1">
      <c r="A10" s="362"/>
      <c r="B10" s="366" t="s">
        <v>448</v>
      </c>
      <c r="C10" s="366"/>
      <c r="D10" s="366"/>
      <c r="E10" s="366"/>
      <c r="F10" s="366"/>
      <c r="G10" s="34"/>
    </row>
    <row r="11" spans="1:7" ht="27" customHeight="1">
      <c r="A11" s="362"/>
      <c r="B11" s="367"/>
      <c r="C11" s="367"/>
      <c r="D11" s="367"/>
      <c r="E11" s="367"/>
      <c r="F11" s="367"/>
      <c r="G11" s="34"/>
    </row>
    <row r="12" spans="1:7">
      <c r="A12" s="362"/>
      <c r="B12" s="42" t="s">
        <v>871</v>
      </c>
      <c r="C12" s="43" t="s">
        <v>874</v>
      </c>
      <c r="D12" s="213" t="s">
        <v>875</v>
      </c>
      <c r="E12" s="43" t="s">
        <v>628</v>
      </c>
      <c r="F12" s="43" t="s">
        <v>629</v>
      </c>
      <c r="G12" s="34"/>
    </row>
    <row r="13" spans="1:7" ht="33.75">
      <c r="A13" s="362"/>
      <c r="B13" s="2">
        <v>1</v>
      </c>
      <c r="C13" s="37" t="s">
        <v>1111</v>
      </c>
      <c r="D13" s="39" t="s">
        <v>899</v>
      </c>
      <c r="E13" s="196" t="s">
        <v>876</v>
      </c>
      <c r="F13" s="196"/>
      <c r="G13" s="34"/>
    </row>
    <row r="14" spans="1:7" ht="33.75">
      <c r="A14" s="362"/>
      <c r="B14" s="2">
        <v>2</v>
      </c>
      <c r="C14" s="37" t="s">
        <v>1111</v>
      </c>
      <c r="D14" s="39" t="s">
        <v>1048</v>
      </c>
      <c r="E14" s="196" t="s">
        <v>540</v>
      </c>
      <c r="F14" s="196" t="s">
        <v>541</v>
      </c>
      <c r="G14" s="34"/>
    </row>
    <row r="15" spans="1:7" ht="89.1" customHeight="1">
      <c r="A15" s="362"/>
      <c r="B15" s="368">
        <v>2.0099999999999998</v>
      </c>
      <c r="C15" s="359" t="s">
        <v>1111</v>
      </c>
      <c r="D15" s="371" t="s">
        <v>2358</v>
      </c>
      <c r="E15" s="197" t="s">
        <v>630</v>
      </c>
      <c r="F15" s="197" t="s">
        <v>633</v>
      </c>
      <c r="G15" s="34"/>
    </row>
    <row r="16" spans="1:7" ht="99" customHeight="1">
      <c r="A16" s="362"/>
      <c r="B16" s="369"/>
      <c r="C16" s="360"/>
      <c r="D16" s="372"/>
      <c r="E16" s="198"/>
      <c r="F16" s="198" t="s">
        <v>631</v>
      </c>
      <c r="G16" s="34"/>
    </row>
    <row r="17" spans="1:7" ht="63" customHeight="1">
      <c r="A17" s="362"/>
      <c r="B17" s="370"/>
      <c r="C17" s="361"/>
      <c r="D17" s="373"/>
      <c r="E17" s="37"/>
      <c r="F17" s="37" t="s">
        <v>632</v>
      </c>
      <c r="G17" s="34"/>
    </row>
    <row r="18" spans="1:7" ht="117" customHeight="1">
      <c r="A18" s="362"/>
      <c r="B18" s="368">
        <v>2.02</v>
      </c>
      <c r="C18" s="359" t="s">
        <v>1111</v>
      </c>
      <c r="D18" s="371" t="s">
        <v>2359</v>
      </c>
      <c r="E18" s="197" t="s">
        <v>449</v>
      </c>
      <c r="F18" s="197" t="s">
        <v>535</v>
      </c>
      <c r="G18" s="34"/>
    </row>
    <row r="19" spans="1:7" ht="71.099999999999994" customHeight="1">
      <c r="A19" s="362"/>
      <c r="B19" s="369"/>
      <c r="C19" s="360"/>
      <c r="D19" s="372"/>
      <c r="E19" s="198" t="s">
        <v>539</v>
      </c>
      <c r="F19" s="198" t="s">
        <v>450</v>
      </c>
      <c r="G19" s="34"/>
    </row>
    <row r="20" spans="1:7" ht="90.75" customHeight="1">
      <c r="A20" s="362"/>
      <c r="B20" s="369"/>
      <c r="C20" s="360"/>
      <c r="D20" s="372"/>
      <c r="E20" s="198"/>
      <c r="F20" s="198" t="s">
        <v>635</v>
      </c>
      <c r="G20" s="34"/>
    </row>
    <row r="21" spans="1:7" ht="74.25" customHeight="1">
      <c r="A21" s="362"/>
      <c r="B21" s="370"/>
      <c r="C21" s="361"/>
      <c r="D21" s="373"/>
      <c r="E21" s="37"/>
      <c r="F21" s="37" t="s">
        <v>634</v>
      </c>
      <c r="G21" s="34"/>
    </row>
    <row r="22" spans="1:7" ht="90" customHeight="1">
      <c r="A22" s="362"/>
      <c r="B22" s="353">
        <v>2.0299999999999998</v>
      </c>
      <c r="C22" s="353" t="s">
        <v>845</v>
      </c>
      <c r="D22" s="356" t="s">
        <v>2360</v>
      </c>
      <c r="E22" s="359" t="s">
        <v>447</v>
      </c>
      <c r="F22" s="197" t="s">
        <v>470</v>
      </c>
      <c r="G22" s="34"/>
    </row>
    <row r="23" spans="1:7" ht="109.5" customHeight="1">
      <c r="A23" s="362"/>
      <c r="B23" s="354"/>
      <c r="C23" s="354"/>
      <c r="D23" s="357"/>
      <c r="E23" s="360"/>
      <c r="F23" s="198" t="s">
        <v>846</v>
      </c>
      <c r="G23" s="34"/>
    </row>
    <row r="24" spans="1:7" ht="74.25" customHeight="1">
      <c r="A24" s="362"/>
      <c r="B24" s="355"/>
      <c r="C24" s="355"/>
      <c r="D24" s="358"/>
      <c r="E24" s="361"/>
      <c r="F24" s="37" t="s">
        <v>446</v>
      </c>
      <c r="G24" s="34"/>
    </row>
    <row r="25" spans="1:7" ht="72" customHeight="1">
      <c r="A25" s="362"/>
      <c r="B25" s="2" t="s">
        <v>468</v>
      </c>
      <c r="C25" s="37" t="s">
        <v>469</v>
      </c>
      <c r="D25" s="39" t="s">
        <v>2361</v>
      </c>
      <c r="E25" s="37" t="s">
        <v>2356</v>
      </c>
      <c r="F25" s="37" t="s">
        <v>471</v>
      </c>
      <c r="G25" s="34"/>
    </row>
    <row r="26" spans="1:7" ht="98.1" customHeight="1">
      <c r="A26" s="362"/>
      <c r="B26" s="374">
        <v>3</v>
      </c>
      <c r="C26" s="368" t="s">
        <v>72</v>
      </c>
      <c r="D26" s="371" t="s">
        <v>2362</v>
      </c>
      <c r="E26" s="359" t="s">
        <v>0</v>
      </c>
      <c r="F26" s="197" t="s">
        <v>66</v>
      </c>
      <c r="G26" s="34"/>
    </row>
    <row r="27" spans="1:7" ht="90" customHeight="1">
      <c r="A27" s="362"/>
      <c r="B27" s="375"/>
      <c r="C27" s="369"/>
      <c r="D27" s="372"/>
      <c r="E27" s="360"/>
      <c r="F27" s="198" t="s">
        <v>61</v>
      </c>
      <c r="G27" s="34"/>
    </row>
    <row r="28" spans="1:7" ht="19.350000000000001" customHeight="1">
      <c r="A28" s="362"/>
      <c r="B28" s="375"/>
      <c r="C28" s="369"/>
      <c r="D28" s="372"/>
      <c r="E28" s="360"/>
      <c r="F28" s="198" t="s">
        <v>62</v>
      </c>
      <c r="G28" s="34"/>
    </row>
    <row r="29" spans="1:7" ht="74.45" customHeight="1">
      <c r="A29" s="362"/>
      <c r="B29" s="375"/>
      <c r="C29" s="369"/>
      <c r="D29" s="372"/>
      <c r="E29" s="360"/>
      <c r="F29" s="198" t="s">
        <v>63</v>
      </c>
      <c r="G29" s="34"/>
    </row>
    <row r="30" spans="1:7" ht="62.45" customHeight="1">
      <c r="A30" s="362"/>
      <c r="B30" s="375"/>
      <c r="C30" s="369"/>
      <c r="D30" s="372"/>
      <c r="E30" s="360"/>
      <c r="F30" s="198" t="s">
        <v>64</v>
      </c>
      <c r="G30" s="34"/>
    </row>
    <row r="31" spans="1:7" ht="81" customHeight="1">
      <c r="A31" s="362"/>
      <c r="B31" s="375"/>
      <c r="C31" s="369"/>
      <c r="D31" s="372"/>
      <c r="E31" s="360"/>
      <c r="F31" s="198" t="s">
        <v>65</v>
      </c>
      <c r="G31" s="34"/>
    </row>
    <row r="32" spans="1:7" ht="48.75" customHeight="1">
      <c r="A32" s="362"/>
      <c r="B32" s="375"/>
      <c r="C32" s="369"/>
      <c r="D32" s="372"/>
      <c r="E32" s="360"/>
      <c r="F32" s="198" t="s">
        <v>68</v>
      </c>
      <c r="G32" s="34"/>
    </row>
    <row r="33" spans="1:7" ht="98.45" customHeight="1">
      <c r="A33" s="362"/>
      <c r="B33" s="375"/>
      <c r="C33" s="369"/>
      <c r="D33" s="372"/>
      <c r="E33" s="360"/>
      <c r="F33" s="198" t="s">
        <v>67</v>
      </c>
      <c r="G33" s="34"/>
    </row>
    <row r="34" spans="1:7" ht="89.1" customHeight="1">
      <c r="A34" s="362"/>
      <c r="B34" s="375"/>
      <c r="C34" s="369"/>
      <c r="D34" s="372"/>
      <c r="E34" s="360"/>
      <c r="F34" s="198" t="s">
        <v>69</v>
      </c>
      <c r="G34" s="34"/>
    </row>
    <row r="35" spans="1:7" ht="29.1" customHeight="1">
      <c r="A35" s="362"/>
      <c r="B35" s="375"/>
      <c r="C35" s="369"/>
      <c r="D35" s="372"/>
      <c r="E35" s="360"/>
      <c r="F35" s="198" t="s">
        <v>70</v>
      </c>
      <c r="G35" s="34"/>
    </row>
    <row r="36" spans="1:7" ht="126.75">
      <c r="A36" s="362"/>
      <c r="B36" s="376"/>
      <c r="C36" s="370"/>
      <c r="D36" s="373"/>
      <c r="E36" s="361"/>
      <c r="F36" s="199" t="s">
        <v>71</v>
      </c>
      <c r="G36" s="34"/>
    </row>
    <row r="37" spans="1:7" ht="112.5">
      <c r="A37" s="362"/>
      <c r="B37" s="171">
        <v>3.01</v>
      </c>
      <c r="C37" s="172" t="s">
        <v>72</v>
      </c>
      <c r="D37" s="39" t="s">
        <v>2363</v>
      </c>
      <c r="E37" s="200" t="s">
        <v>1351</v>
      </c>
      <c r="F37" s="201" t="s">
        <v>1457</v>
      </c>
      <c r="G37" s="34"/>
    </row>
    <row r="38" spans="1:7" ht="101.25">
      <c r="A38" s="362"/>
      <c r="B38" s="171">
        <v>3.02</v>
      </c>
      <c r="C38" s="172" t="s">
        <v>1384</v>
      </c>
      <c r="D38" s="39" t="s">
        <v>2364</v>
      </c>
      <c r="E38" s="200" t="s">
        <v>1399</v>
      </c>
      <c r="F38" s="201" t="s">
        <v>1458</v>
      </c>
      <c r="G38" s="34"/>
    </row>
    <row r="39" spans="1:7" ht="101.25">
      <c r="A39" s="362"/>
      <c r="B39" s="182">
        <v>4</v>
      </c>
      <c r="C39" s="181" t="s">
        <v>1554</v>
      </c>
      <c r="D39" s="39" t="s">
        <v>2365</v>
      </c>
      <c r="E39" s="37" t="s">
        <v>2307</v>
      </c>
      <c r="F39" s="37" t="s">
        <v>1555</v>
      </c>
      <c r="G39" s="34"/>
    </row>
    <row r="40" spans="1:7" ht="56.25">
      <c r="A40" s="362"/>
      <c r="B40" s="171">
        <v>4.01</v>
      </c>
      <c r="C40" s="181" t="s">
        <v>1554</v>
      </c>
      <c r="D40" s="39" t="s">
        <v>2367</v>
      </c>
      <c r="E40" s="37" t="s">
        <v>2321</v>
      </c>
      <c r="F40" s="37" t="s">
        <v>2326</v>
      </c>
      <c r="G40" s="34"/>
    </row>
    <row r="41" spans="1:7" ht="56.25">
      <c r="A41" s="362"/>
      <c r="B41" s="171" t="s">
        <v>2354</v>
      </c>
      <c r="C41" s="181" t="s">
        <v>1554</v>
      </c>
      <c r="D41" s="39" t="s">
        <v>2366</v>
      </c>
      <c r="E41" s="37" t="s">
        <v>2357</v>
      </c>
      <c r="F41" s="37" t="s">
        <v>2355</v>
      </c>
      <c r="G41" s="34"/>
    </row>
    <row r="42" spans="1:7" ht="56.25">
      <c r="A42" s="362"/>
      <c r="B42" s="171" t="s">
        <v>2399</v>
      </c>
      <c r="C42" s="181" t="s">
        <v>1554</v>
      </c>
      <c r="D42" s="39" t="s">
        <v>2406</v>
      </c>
      <c r="E42" s="37" t="s">
        <v>2356</v>
      </c>
      <c r="F42" s="37" t="s">
        <v>2400</v>
      </c>
      <c r="G42" s="34"/>
    </row>
    <row r="43" spans="1:7" ht="123.75">
      <c r="A43" s="362"/>
      <c r="B43" s="193">
        <v>4.0999999999999996</v>
      </c>
      <c r="C43" s="181" t="s">
        <v>2405</v>
      </c>
      <c r="D43" s="194">
        <v>42867</v>
      </c>
      <c r="E43" s="202" t="s">
        <v>2408</v>
      </c>
      <c r="F43" s="37" t="s">
        <v>2407</v>
      </c>
      <c r="G43" s="34"/>
    </row>
    <row r="44" spans="1:7" ht="78.75">
      <c r="A44" s="362"/>
      <c r="B44" s="193">
        <v>4.2</v>
      </c>
      <c r="C44" s="181" t="s">
        <v>2405</v>
      </c>
      <c r="D44" s="194">
        <v>42704</v>
      </c>
      <c r="E44" s="202" t="s">
        <v>2625</v>
      </c>
      <c r="F44" s="37" t="s">
        <v>2598</v>
      </c>
      <c r="G44" s="34"/>
    </row>
    <row r="45" spans="1:7" ht="157.5">
      <c r="A45" s="362"/>
      <c r="B45" s="243">
        <v>5</v>
      </c>
      <c r="C45" s="181" t="s">
        <v>2405</v>
      </c>
      <c r="D45" s="194">
        <v>42867</v>
      </c>
      <c r="E45" s="202" t="s">
        <v>13032</v>
      </c>
      <c r="F45" s="37" t="s">
        <v>12754</v>
      </c>
      <c r="G45" s="34"/>
    </row>
    <row r="46" spans="1:7" ht="45">
      <c r="A46" s="362"/>
      <c r="B46" s="193">
        <v>5.01</v>
      </c>
      <c r="C46" s="181" t="s">
        <v>2405</v>
      </c>
      <c r="D46" s="194">
        <v>42907</v>
      </c>
      <c r="E46" s="202" t="s">
        <v>13052</v>
      </c>
      <c r="F46" s="37" t="s">
        <v>12754</v>
      </c>
      <c r="G46" s="34"/>
    </row>
    <row r="47" spans="1:7" ht="67.5">
      <c r="A47" s="362"/>
      <c r="B47" s="193">
        <v>5.0999999999999996</v>
      </c>
      <c r="C47" s="181" t="s">
        <v>2405</v>
      </c>
      <c r="D47" s="194">
        <v>43070</v>
      </c>
      <c r="E47" s="202" t="s">
        <v>13247</v>
      </c>
      <c r="F47" s="37" t="s">
        <v>13248</v>
      </c>
      <c r="G47" s="34"/>
    </row>
    <row r="48" spans="1:7" ht="56.25">
      <c r="A48" s="362"/>
      <c r="B48" s="193">
        <v>5.1100000000000003</v>
      </c>
      <c r="C48" s="181" t="s">
        <v>13489</v>
      </c>
      <c r="D48" s="194">
        <v>43217</v>
      </c>
      <c r="E48" s="202" t="s">
        <v>13617</v>
      </c>
      <c r="F48" s="37" t="s">
        <v>13523</v>
      </c>
      <c r="G48" s="34"/>
    </row>
    <row r="49" spans="1:7" ht="56.25">
      <c r="A49" s="362"/>
      <c r="B49" s="193">
        <v>5.12</v>
      </c>
      <c r="C49" s="181" t="s">
        <v>13489</v>
      </c>
      <c r="D49" s="194">
        <v>43581</v>
      </c>
      <c r="E49" s="202" t="s">
        <v>13617</v>
      </c>
      <c r="F49" s="37" t="s">
        <v>14191</v>
      </c>
      <c r="G49" s="34"/>
    </row>
    <row r="50" spans="1:7" ht="78.75">
      <c r="A50" s="362"/>
      <c r="B50" s="243">
        <v>6</v>
      </c>
      <c r="C50" s="181" t="s">
        <v>13489</v>
      </c>
      <c r="D50" s="194">
        <v>43964</v>
      </c>
      <c r="E50" s="202" t="s">
        <v>14433</v>
      </c>
      <c r="F50" s="37" t="s">
        <v>14204</v>
      </c>
      <c r="G50" s="34"/>
    </row>
    <row r="51" spans="1:7" ht="45">
      <c r="A51" s="362"/>
      <c r="B51" s="193">
        <v>6.01</v>
      </c>
      <c r="C51" s="181" t="s">
        <v>13489</v>
      </c>
      <c r="D51" s="194">
        <v>43970</v>
      </c>
      <c r="E51" s="202" t="s">
        <v>15503</v>
      </c>
      <c r="F51" s="202" t="s">
        <v>14204</v>
      </c>
      <c r="G51" s="34"/>
    </row>
    <row r="52" spans="1:7" ht="13.5" thickBot="1">
      <c r="A52" s="363"/>
      <c r="B52" s="364" t="str">
        <f ca="1">OFFSET(L!$C$1,MATCH("General"&amp;"Cpy",L!$A:$A,0)-1,SL,,)</f>
        <v>© 2020 Responsible Minerals Initiative. All rights reserved.</v>
      </c>
      <c r="C52" s="364"/>
      <c r="D52" s="364"/>
      <c r="E52" s="364"/>
      <c r="F52" s="364"/>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7" t="str">
        <f ca="1">OFFSET(L!$C$1,MATCH("Definitions"&amp;ADDRESS(ROW(),COLUMN(),4),L!$A:$A,0)-1,SL,,)</f>
        <v>ITEM</v>
      </c>
      <c r="C2" s="167"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1336</v>
      </c>
    </row>
    <row r="10" spans="1:5" ht="45">
      <c r="A10" s="87"/>
      <c r="B10" s="74" t="str">
        <f ca="1">OFFSET(L!$C$1,MATCH("Definitions"&amp;ADDRESS(ROW(),COLUMN(),4),L!$A:$A,0)-1,SL,,)</f>
        <v>DRC</v>
      </c>
      <c r="C10" s="74" t="str">
        <f ca="1">OFFSET(L!$C$1,MATCH("Definitions"&amp;ADDRESS(ROW(),COLUMN(),4),L!$A:$A,0)-1,SL,,)</f>
        <v>Democratic Republic of Congo</v>
      </c>
      <c r="D10" s="381"/>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2020 Responsible Minerals Initiative. All rights reserved.</v>
      </c>
      <c r="C32" s="380"/>
      <c r="D32" s="381"/>
      <c r="E32" s="128"/>
    </row>
    <row r="33" spans="1:4" ht="13.5" thickBot="1">
      <c r="A33" s="88"/>
      <c r="B33" s="185"/>
      <c r="C33" s="185"/>
      <c r="D33" s="382"/>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5"/>
      <c r="B1" s="406"/>
      <c r="C1" s="406"/>
      <c r="D1" s="406"/>
      <c r="E1" s="406"/>
      <c r="F1" s="406"/>
      <c r="G1" s="406"/>
      <c r="H1" s="406"/>
      <c r="I1" s="406"/>
      <c r="J1" s="406"/>
      <c r="K1" s="40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8" t="str">
        <f ca="1">OFFSET(L!$C$1,MATCH("Declaration"&amp;ADDRESS(ROW(),COLUMN(),4),L!$A:$A,0)-1,SL,,)</f>
        <v>Conflict Minerals Reporting Template (CMRT)</v>
      </c>
      <c r="E2" s="409"/>
      <c r="F2" s="409"/>
      <c r="G2" s="409"/>
      <c r="H2" s="409"/>
      <c r="I2" s="409"/>
      <c r="J2" s="41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8"/>
      <c r="G3" s="418"/>
      <c r="H3" s="418"/>
      <c r="I3" s="184"/>
      <c r="J3" s="168" t="s">
        <v>15505</v>
      </c>
      <c r="K3" s="47"/>
      <c r="L3" s="139"/>
      <c r="M3" s="130"/>
      <c r="N3" s="130"/>
      <c r="O3" s="131"/>
      <c r="P3" s="144">
        <f>MATCH($D$3,LN,0)</f>
        <v>1</v>
      </c>
    </row>
    <row r="4" spans="1:34" ht="15.75">
      <c r="A4" s="45"/>
      <c r="B4" s="414" t="str">
        <f ca="1">OFFSET(L!$C$1,MATCH("Declaration"&amp;ADDRESS(ROW(),COLUMN(),4),L!$A:$A,0)-1,SL,,)</f>
        <v>The purpose of this document is to collect sourcing information on tin, tantalum, tungsten and gold used in products</v>
      </c>
      <c r="C4" s="414"/>
      <c r="D4" s="414"/>
      <c r="E4" s="414"/>
      <c r="F4" s="414"/>
      <c r="G4" s="414"/>
      <c r="H4" s="414"/>
      <c r="I4" s="419" t="str">
        <f ca="1">OFFSET(L!$C$1,MATCH("Declaration"&amp;ADDRESS(ROW(),COLUMN(),4),L!$A:$A,0)-1,SL,,)</f>
        <v>Link to Terms &amp; Conditions</v>
      </c>
      <c r="J4" s="41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3" t="str">
        <f ca="1">OFFSET(L!$C$1,MATCH("Declaration"&amp;ADDRESS(ROW(),COLUMN(),4),L!$A:$A,0)-1,SL,,)</f>
        <v>Company Information</v>
      </c>
      <c r="C7" s="423"/>
      <c r="D7" s="423"/>
      <c r="E7" s="423"/>
      <c r="F7" s="423"/>
      <c r="G7" s="423"/>
      <c r="H7" s="423"/>
      <c r="I7" s="423"/>
      <c r="J7" s="42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1" t="s">
        <v>15506</v>
      </c>
      <c r="E8" s="412"/>
      <c r="F8" s="412"/>
      <c r="G8" s="412"/>
      <c r="H8" s="412"/>
      <c r="I8" s="412"/>
      <c r="J8" s="41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0" t="s">
        <v>504</v>
      </c>
      <c r="E9" s="421"/>
      <c r="F9" s="421"/>
      <c r="G9" s="42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4" t="str">
        <f ca="1">OFFSET(L!$C$1,MATCH("Declaration"&amp;ADDRESS(ROW(),COLUMN(),4)&amp;LEFT($D$9,1),L!$A:$A,0)-1,SL,,)</f>
        <v>Description of Scope:</v>
      </c>
      <c r="C10" s="151"/>
      <c r="D10" s="415"/>
      <c r="E10" s="416"/>
      <c r="F10" s="416"/>
      <c r="G10" s="416"/>
      <c r="H10" s="416"/>
      <c r="I10" s="416"/>
      <c r="J10" s="41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5"/>
      <c r="C11" s="151"/>
      <c r="D11" s="434" t="str">
        <f ca="1">IF(D9=Q9,OFFSET(L!$C$1,MATCH("Declaration"&amp;ADDRESS(ROW(),COLUMN(),4),L!$A:$A,0)-1,SL,,),"")</f>
        <v/>
      </c>
      <c r="E11" s="435"/>
      <c r="F11" s="435"/>
      <c r="G11" s="435"/>
      <c r="H11" s="435"/>
      <c r="I11" s="435"/>
      <c r="J11" s="43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7"/>
      <c r="E12" s="398"/>
      <c r="F12" s="398"/>
      <c r="G12" s="398"/>
      <c r="H12" s="398"/>
      <c r="I12" s="398"/>
      <c r="J12" s="39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7"/>
      <c r="E13" s="398"/>
      <c r="F13" s="398"/>
      <c r="G13" s="398"/>
      <c r="H13" s="398"/>
      <c r="I13" s="398"/>
      <c r="J13" s="39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7"/>
      <c r="E14" s="398"/>
      <c r="F14" s="398"/>
      <c r="G14" s="398"/>
      <c r="H14" s="398"/>
      <c r="I14" s="398"/>
      <c r="J14" s="39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7" t="s">
        <v>15507</v>
      </c>
      <c r="E15" s="398"/>
      <c r="F15" s="398"/>
      <c r="G15" s="398"/>
      <c r="H15" s="398"/>
      <c r="I15" s="398"/>
      <c r="J15" s="39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6" t="s">
        <v>15508</v>
      </c>
      <c r="E16" s="427"/>
      <c r="F16" s="427"/>
      <c r="G16" s="427"/>
      <c r="H16" s="427"/>
      <c r="I16" s="427"/>
      <c r="J16" s="42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7" t="s">
        <v>15509</v>
      </c>
      <c r="E17" s="398"/>
      <c r="F17" s="398"/>
      <c r="G17" s="398"/>
      <c r="H17" s="398"/>
      <c r="I17" s="398"/>
      <c r="J17" s="39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7" t="s">
        <v>15510</v>
      </c>
      <c r="E18" s="398"/>
      <c r="F18" s="398"/>
      <c r="G18" s="398"/>
      <c r="H18" s="398"/>
      <c r="I18" s="398"/>
      <c r="J18" s="39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7" t="s">
        <v>15579</v>
      </c>
      <c r="E19" s="398"/>
      <c r="F19" s="398"/>
      <c r="G19" s="398"/>
      <c r="H19" s="398"/>
      <c r="I19" s="398"/>
      <c r="J19" s="39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6" t="s">
        <v>15511</v>
      </c>
      <c r="E20" s="427"/>
      <c r="F20" s="427"/>
      <c r="G20" s="427"/>
      <c r="H20" s="427"/>
      <c r="I20" s="427"/>
      <c r="J20" s="428"/>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91" t="s">
        <v>15580</v>
      </c>
      <c r="E21" s="392"/>
      <c r="F21" s="392"/>
      <c r="G21" s="392"/>
      <c r="H21" s="392"/>
      <c r="I21" s="392"/>
      <c r="J21" s="39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4">
        <v>44229</v>
      </c>
      <c r="E22" s="395"/>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1"/>
      <c r="E23" s="431"/>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6" t="str">
        <f ca="1">OFFSET(L!$C$1,MATCH("Declaration"&amp;ADDRESS(ROW(),COLUMN(),4),L!$A:$A,0)-1,SL,,)</f>
        <v>Answer the following questions 1 - 8 based on the declaration scope indicated above</v>
      </c>
      <c r="C24" s="396"/>
      <c r="D24" s="396"/>
      <c r="E24" s="396"/>
      <c r="F24" s="396"/>
      <c r="G24" s="396"/>
      <c r="H24" s="396"/>
      <c r="I24" s="396"/>
      <c r="J24" s="39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32" t="str">
        <f ca="1">OFFSET(L!$C$1,MATCH("Declaration"&amp;ADDRESS(ROW(),COLUMN(),4),L!$A:$A,0)-1,SL,,)</f>
        <v>Answer</v>
      </c>
      <c r="E25" s="43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3" t="s">
        <v>498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498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498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3" t="s">
        <v>499</v>
      </c>
      <c r="E29" s="384"/>
      <c r="F29" s="15"/>
      <c r="G29" s="385"/>
      <c r="H29" s="386"/>
      <c r="I29" s="386"/>
      <c r="J29" s="387"/>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0" t="str">
        <f ca="1">D25</f>
        <v>Answer</v>
      </c>
      <c r="E31" s="390"/>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0" t="s">
        <v>498</v>
      </c>
      <c r="E32" s="401"/>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498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498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3" t="s">
        <v>499</v>
      </c>
      <c r="E35" s="384"/>
      <c r="F35" s="58"/>
      <c r="G35" s="385"/>
      <c r="H35" s="386"/>
      <c r="I35" s="386"/>
      <c r="J35" s="387"/>
      <c r="K35" s="47"/>
      <c r="L35" s="142"/>
      <c r="M35" s="130"/>
      <c r="N35" s="130"/>
      <c r="O35" s="131"/>
      <c r="P35" s="144"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0" t="str">
        <f ca="1">D25</f>
        <v>Answer</v>
      </c>
      <c r="E37" s="390"/>
      <c r="F37" s="21"/>
      <c r="G37" s="55" t="str">
        <f ca="1">G25</f>
        <v>Comments</v>
      </c>
      <c r="H37" s="430"/>
      <c r="I37" s="430"/>
      <c r="J37" s="43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3" t="s">
        <v>499</v>
      </c>
      <c r="E38" s="384"/>
      <c r="F38" s="58"/>
      <c r="G38" s="385"/>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500</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500</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3"/>
      <c r="E41" s="384"/>
      <c r="F41" s="58"/>
      <c r="G41" s="385"/>
      <c r="H41" s="386"/>
      <c r="I41" s="386"/>
      <c r="J41" s="387"/>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0" t="str">
        <f ca="1">D25</f>
        <v>Answer</v>
      </c>
      <c r="E43" s="390"/>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500</v>
      </c>
      <c r="E44" s="384"/>
      <c r="F44" s="58"/>
      <c r="G44" s="385"/>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500</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500</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3"/>
      <c r="E47" s="384"/>
      <c r="F47" s="58"/>
      <c r="G47" s="385"/>
      <c r="H47" s="386"/>
      <c r="I47" s="386"/>
      <c r="J47" s="387"/>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0" t="str">
        <f ca="1">D25</f>
        <v>Answer</v>
      </c>
      <c r="E49" s="390"/>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3" t="s">
        <v>499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499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499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3"/>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0" t="str">
        <f ca="1">D25</f>
        <v>Answer</v>
      </c>
      <c r="E55" s="390"/>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8" t="s">
        <v>2627</v>
      </c>
      <c r="E56" s="389"/>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8" t="s">
        <v>2627</v>
      </c>
      <c r="E57" s="389"/>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8" t="s">
        <v>2627</v>
      </c>
      <c r="E58" s="389"/>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8"/>
      <c r="E59" s="389"/>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0" t="str">
        <f ca="1">D25</f>
        <v>Answer</v>
      </c>
      <c r="E61" s="390"/>
      <c r="F61" s="21"/>
      <c r="G61" s="55" t="str">
        <f ca="1">G25</f>
        <v>Comments</v>
      </c>
      <c r="H61" s="429"/>
      <c r="I61" s="429"/>
      <c r="J61" s="429"/>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0" t="s">
        <v>498</v>
      </c>
      <c r="E62" s="401"/>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498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498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3"/>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0" t="str">
        <f ca="1">D25</f>
        <v>Answer</v>
      </c>
      <c r="E67" s="390"/>
      <c r="F67" s="21"/>
      <c r="G67" s="55" t="str">
        <f ca="1">G25</f>
        <v>Comments</v>
      </c>
      <c r="H67" s="429" t="str">
        <f>IF(Q75="(*)","Click here to enter smelter names","")</f>
        <v/>
      </c>
      <c r="I67" s="429"/>
      <c r="J67" s="429"/>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3" t="s">
        <v>498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498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498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3"/>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3" t="str">
        <f ca="1">OFFSET(L!$C$1,MATCH("Declaration"&amp;ADDRESS(ROW(),COLUMN(),4),L!$A:$A,0)-1,SL,,)</f>
        <v>Answer the Following Questions at a Company Level</v>
      </c>
      <c r="C73" s="443"/>
      <c r="D73" s="443"/>
      <c r="E73" s="443"/>
      <c r="F73" s="443"/>
      <c r="G73" s="443"/>
      <c r="H73" s="443"/>
      <c r="I73" s="443"/>
      <c r="J73" s="44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2" t="str">
        <f ca="1">D25</f>
        <v>Answer</v>
      </c>
      <c r="E74" s="432"/>
      <c r="F74" s="64"/>
      <c r="G74" s="432" t="str">
        <f ca="1">G25</f>
        <v>Comments</v>
      </c>
      <c r="H74" s="432" t="e">
        <f>HLOOKUP(SL,LT,$O74,0)</f>
        <v>#NAME?</v>
      </c>
      <c r="I74" s="43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498</v>
      </c>
      <c r="E75" s="384"/>
      <c r="F75" s="68"/>
      <c r="G75" s="385"/>
      <c r="H75" s="386"/>
      <c r="I75" s="386"/>
      <c r="J75" s="387"/>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3"/>
      <c r="H76" s="433"/>
      <c r="I76" s="433"/>
      <c r="J76" s="43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498</v>
      </c>
      <c r="E77" s="384"/>
      <c r="F77" s="68"/>
      <c r="G77" s="402" t="s">
        <v>15578</v>
      </c>
      <c r="H77" s="403"/>
      <c r="I77" s="403"/>
      <c r="J77" s="404"/>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498</v>
      </c>
      <c r="E79" s="384"/>
      <c r="F79" s="68"/>
      <c r="G79" s="385"/>
      <c r="H79" s="386"/>
      <c r="I79" s="386"/>
      <c r="J79" s="387"/>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498</v>
      </c>
      <c r="E81" s="384"/>
      <c r="F81" s="68"/>
      <c r="G81" s="385"/>
      <c r="H81" s="386"/>
      <c r="I81" s="386"/>
      <c r="J81" s="387"/>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15442</v>
      </c>
      <c r="E83" s="384"/>
      <c r="F83" s="68"/>
      <c r="G83" s="385"/>
      <c r="H83" s="386"/>
      <c r="I83" s="386"/>
      <c r="J83" s="387"/>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0" t="s">
        <v>498</v>
      </c>
      <c r="E85" s="441"/>
      <c r="F85" s="68"/>
      <c r="G85" s="385"/>
      <c r="H85" s="386"/>
      <c r="I85" s="386"/>
      <c r="J85" s="387"/>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3"/>
      <c r="H86" s="433"/>
      <c r="I86" s="433"/>
      <c r="J86" s="43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498</v>
      </c>
      <c r="E87" s="384"/>
      <c r="F87" s="68"/>
      <c r="G87" s="385"/>
      <c r="H87" s="386"/>
      <c r="I87" s="386"/>
      <c r="J87" s="387"/>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2"/>
      <c r="H88" s="442"/>
      <c r="I88" s="442"/>
      <c r="J88" s="442"/>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499</v>
      </c>
      <c r="E89" s="384"/>
      <c r="F89" s="68"/>
      <c r="G89" s="385"/>
      <c r="H89" s="386"/>
      <c r="I89" s="386"/>
      <c r="J89" s="387"/>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9" t="str">
        <f>IF(OR($D$8="",$I$3=""),"","Click here to check required fields completion")</f>
        <v/>
      </c>
      <c r="C90" s="439"/>
      <c r="D90" s="439"/>
      <c r="E90" s="439"/>
      <c r="F90" s="439"/>
      <c r="G90" s="439"/>
      <c r="H90" s="439"/>
      <c r="I90" s="439"/>
      <c r="J90" s="43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7" t="str">
        <f ca="1">OFFSET(L!$C$1,MATCH("General"&amp;"Cpy",L!$A:$A,0)-1,SL,,)</f>
        <v>© 2020 Responsible Minerals Initiative. All rights reserved.</v>
      </c>
      <c r="B91" s="438"/>
      <c r="C91" s="438"/>
      <c r="D91" s="438"/>
      <c r="E91" s="438"/>
      <c r="F91" s="438"/>
      <c r="G91" s="438"/>
      <c r="H91" s="438"/>
      <c r="I91" s="438"/>
      <c r="J91" s="43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39" priority="64" stopIfTrue="1">
      <formula>AND(OR($D$26="No",AND($D$26="Yes",$D$32="No")),OR($D$27="No",AND($D$27="Yes",$D$33="No")),OR($D$28="No",AND($D$28="Yes",$D$34="No")),OR($D$29="No",AND($D$29="Yes",$D$35="No")))</formula>
    </cfRule>
    <cfRule type="expression" dxfId="138" priority="65" stopIfTrue="1">
      <formula>IF(D75="",TRUE)</formula>
    </cfRule>
  </conditionalFormatting>
  <conditionalFormatting sqref="G77:J77">
    <cfRule type="expression" dxfId="137" priority="36" stopIfTrue="1">
      <formula>IF(AND($D$77="Yes",$G$77=""),TRUE)</formula>
    </cfRule>
  </conditionalFormatting>
  <conditionalFormatting sqref="D26:E26">
    <cfRule type="expression" dxfId="136" priority="116" stopIfTrue="1">
      <formula>IF($D$26="",TRUE)</formula>
    </cfRule>
  </conditionalFormatting>
  <conditionalFormatting sqref="D27:E27">
    <cfRule type="expression" dxfId="135" priority="123" stopIfTrue="1">
      <formula>IF($D$27="",TRUE)</formula>
    </cfRule>
  </conditionalFormatting>
  <conditionalFormatting sqref="D28:E28">
    <cfRule type="expression" dxfId="134" priority="124" stopIfTrue="1">
      <formula>IF($D$28="",TRUE)</formula>
    </cfRule>
  </conditionalFormatting>
  <conditionalFormatting sqref="D29:E29">
    <cfRule type="expression" dxfId="133" priority="125" stopIfTrue="1">
      <formula>IF($D$29="",TRUE)</formula>
    </cfRule>
  </conditionalFormatting>
  <conditionalFormatting sqref="D8:J8">
    <cfRule type="expression" dxfId="132" priority="130" stopIfTrue="1">
      <formula>IF($D$8="",TRUE)</formula>
    </cfRule>
  </conditionalFormatting>
  <conditionalFormatting sqref="D9:G9">
    <cfRule type="expression" dxfId="131" priority="131" stopIfTrue="1">
      <formula>IF($D$9="",TRUE)</formula>
    </cfRule>
  </conditionalFormatting>
  <conditionalFormatting sqref="D15:J15">
    <cfRule type="expression" dxfId="130" priority="132" stopIfTrue="1">
      <formula>IF($D$15="",TRUE)</formula>
    </cfRule>
  </conditionalFormatting>
  <conditionalFormatting sqref="D16:J16">
    <cfRule type="expression" dxfId="129" priority="133" stopIfTrue="1">
      <formula>IF($D$16="",TRUE)</formula>
    </cfRule>
  </conditionalFormatting>
  <conditionalFormatting sqref="D17:J17">
    <cfRule type="expression" dxfId="128" priority="134" stopIfTrue="1">
      <formula>IF($D$17="",TRUE)</formula>
    </cfRule>
  </conditionalFormatting>
  <conditionalFormatting sqref="D18:J18">
    <cfRule type="expression" dxfId="127" priority="135" stopIfTrue="1">
      <formula>IF($D$18="",TRUE)</formula>
    </cfRule>
  </conditionalFormatting>
  <conditionalFormatting sqref="D10:J10">
    <cfRule type="expression" dxfId="126" priority="35" stopIfTrue="1">
      <formula>IF($D$9=$Q$9,TRUE)</formula>
    </cfRule>
    <cfRule type="expression" dxfId="125" priority="145" stopIfTrue="1">
      <formula>IF(AND($D$10="",$D$9=$R$9),TRUE)</formula>
    </cfRule>
  </conditionalFormatting>
  <conditionalFormatting sqref="D34:E34 D40:E40 D52:E52 D58:E58 D64:E64 D70:E70">
    <cfRule type="expression" dxfId="124" priority="28" stopIfTrue="1">
      <formula>$P$28=""</formula>
    </cfRule>
  </conditionalFormatting>
  <conditionalFormatting sqref="D35:E35 D41:E41 D53:E53 D59:E59 D65:E65 D71:E71">
    <cfRule type="expression" dxfId="123" priority="143" stopIfTrue="1">
      <formula>$P$29=""</formula>
    </cfRule>
  </conditionalFormatting>
  <conditionalFormatting sqref="D32:E32">
    <cfRule type="expression" dxfId="122" priority="121" stopIfTrue="1">
      <formula>$P$26=""</formula>
    </cfRule>
  </conditionalFormatting>
  <conditionalFormatting sqref="D32:E32">
    <cfRule type="expression" dxfId="121" priority="34" stopIfTrue="1">
      <formula>IF(AND(OR($D$26="Yes",$D$26=""),$D$32=""),1,0)</formula>
    </cfRule>
  </conditionalFormatting>
  <conditionalFormatting sqref="D38 D50 D56 D62 D68">
    <cfRule type="expression" dxfId="120" priority="30" stopIfTrue="1">
      <formula>$P$32=""</formula>
    </cfRule>
  </conditionalFormatting>
  <conditionalFormatting sqref="D39:E39 D51 D57 D63 D69">
    <cfRule type="expression" dxfId="119" priority="29" stopIfTrue="1">
      <formula>$P$33=""</formula>
    </cfRule>
  </conditionalFormatting>
  <conditionalFormatting sqref="D40 D52 D58 D64 D70">
    <cfRule type="expression" dxfId="118" priority="19" stopIfTrue="1">
      <formula>$P$34=""</formula>
    </cfRule>
    <cfRule type="expression" dxfId="117" priority="141" stopIfTrue="1">
      <formula>IF(AND(OR($D$28="Yes",$D$28=""),D40=""),1,0)</formula>
    </cfRule>
  </conditionalFormatting>
  <conditionalFormatting sqref="D41 D53 D59 D65 D71">
    <cfRule type="expression" dxfId="116" priority="27" stopIfTrue="1">
      <formula>$P$35=""</formula>
    </cfRule>
  </conditionalFormatting>
  <conditionalFormatting sqref="D38:E38 D50:E50 D56:E56 D62:E62 D68:E68">
    <cfRule type="expression" dxfId="115" priority="32" stopIfTrue="1">
      <formula>$P$26=""</formula>
    </cfRule>
    <cfRule type="expression" dxfId="114" priority="33" stopIfTrue="1">
      <formula>IF(AND(OR($D$26="Yes",$D$26=""),D38=""),1,0)</formula>
    </cfRule>
  </conditionalFormatting>
  <conditionalFormatting sqref="G85:J85">
    <cfRule type="expression" dxfId="113" priority="26" stopIfTrue="1">
      <formula>IF(AND($D$85="Yes, using other format (describe)",$G$85=""),TRUE)</formula>
    </cfRule>
  </conditionalFormatting>
  <conditionalFormatting sqref="D39:E39 D51:E51 D57:E57 D63:E63 D69:E69">
    <cfRule type="expression" dxfId="112" priority="139" stopIfTrue="1">
      <formula>$P$39=""</formula>
    </cfRule>
    <cfRule type="expression" dxfId="111" priority="140" stopIfTrue="1">
      <formula>IF(AND(OR($D$27="Yes",$D$27=""),D39=""),1,0)</formula>
    </cfRule>
  </conditionalFormatting>
  <conditionalFormatting sqref="D33:E33">
    <cfRule type="expression" dxfId="110" priority="21" stopIfTrue="1">
      <formula>IF(AND(OR($D$27="Yes",$D$27=""),$D$33=""),1,0)</formula>
    </cfRule>
    <cfRule type="expression" dxfId="109" priority="22" stopIfTrue="1">
      <formula>$P$27=""</formula>
    </cfRule>
  </conditionalFormatting>
  <conditionalFormatting sqref="D34:E34">
    <cfRule type="expression" dxfId="108" priority="142" stopIfTrue="1">
      <formula>IF(AND(OR($D$28="Yes",$D$28=""),$D$34=""),1,0)</formula>
    </cfRule>
  </conditionalFormatting>
  <conditionalFormatting sqref="D41:E41 D53:E53 D59:E59 D65:E65 D71:E71">
    <cfRule type="expression" dxfId="107" priority="144" stopIfTrue="1">
      <formula>IF(AND(OR($D$29="Yes",$D$29=""),D41=""),1,0)</formula>
    </cfRule>
  </conditionalFormatting>
  <conditionalFormatting sqref="D35:E35">
    <cfRule type="expression" dxfId="106" priority="18" stopIfTrue="1">
      <formula>IF(AND(OR($D$29="Yes",$D$29=""),$D$35=""),1,0)</formula>
    </cfRule>
  </conditionalFormatting>
  <conditionalFormatting sqref="D20:J20">
    <cfRule type="expression" dxfId="105" priority="14" stopIfTrue="1">
      <formula>IF($D$20="",TRUE)</formula>
    </cfRule>
  </conditionalFormatting>
  <conditionalFormatting sqref="D46:E46">
    <cfRule type="expression" dxfId="104" priority="4" stopIfTrue="1">
      <formula>$P$28=""</formula>
    </cfRule>
  </conditionalFormatting>
  <conditionalFormatting sqref="D47:E47">
    <cfRule type="expression" dxfId="103" priority="12" stopIfTrue="1">
      <formula>$P$29=""</formula>
    </cfRule>
  </conditionalFormatting>
  <conditionalFormatting sqref="D44">
    <cfRule type="expression" dxfId="102" priority="6" stopIfTrue="1">
      <formula>$P$32=""</formula>
    </cfRule>
  </conditionalFormatting>
  <conditionalFormatting sqref="D45">
    <cfRule type="expression" dxfId="101" priority="5" stopIfTrue="1">
      <formula>$P$33=""</formula>
    </cfRule>
  </conditionalFormatting>
  <conditionalFormatting sqref="D46">
    <cfRule type="expression" dxfId="100" priority="2" stopIfTrue="1">
      <formula>$P$34=""</formula>
    </cfRule>
    <cfRule type="expression" dxfId="99" priority="11" stopIfTrue="1">
      <formula>IF(AND(OR($D$28="Yes",$D$28=""),D46=""),1,0)</formula>
    </cfRule>
  </conditionalFormatting>
  <conditionalFormatting sqref="D47">
    <cfRule type="expression" dxfId="98" priority="3" stopIfTrue="1">
      <formula>$P$35=""</formula>
    </cfRule>
  </conditionalFormatting>
  <conditionalFormatting sqref="D44:E44">
    <cfRule type="expression" dxfId="97" priority="7" stopIfTrue="1">
      <formula>$P$26=""</formula>
    </cfRule>
    <cfRule type="expression" dxfId="96" priority="8" stopIfTrue="1">
      <formula>IF(AND(OR($D$26="Yes",$D$26=""),D44=""),1,0)</formula>
    </cfRule>
  </conditionalFormatting>
  <conditionalFormatting sqref="D45:E45">
    <cfRule type="expression" dxfId="95" priority="9" stopIfTrue="1">
      <formula>$P$39=""</formula>
    </cfRule>
    <cfRule type="expression" dxfId="94" priority="10" stopIfTrue="1">
      <formula>IF(AND(OR($D$27="Yes",$D$27=""),D45=""),1,0)</formula>
    </cfRule>
  </conditionalFormatting>
  <conditionalFormatting sqref="D47:E47">
    <cfRule type="expression" dxfId="93" priority="13" stopIfTrue="1">
      <formula>IF(AND(OR($D$29="Yes",$D$29=""),D47=""),1,0)</formula>
    </cfRule>
  </conditionalFormatting>
  <conditionalFormatting sqref="D22:E22">
    <cfRule type="expression" dxfId="92" priority="1" stopIfTrue="1">
      <formula>IF($D$22="",TRUE)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3BD59CA1-3483-4890-BFC0-D7DA5D8A895A}"/>
    <hyperlink ref="D20" r:id="rId4" xr:uid="{3FB4A907-AEA0-43BB-B4A9-2254FE52D252}"/>
    <hyperlink ref="G77" r:id="rId5" xr:uid="{378FA377-ABEA-4172-9E89-8741C8BEE10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68" activePane="bottomLeft" state="frozen"/>
      <selection pane="bottomLeft" activeCell="J39" sqref="J3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4" t="str">
        <f ca="1">OFFSET(L!$C$1,MATCH("Smelter List"&amp;ADDRESS(ROW(),COLUMN(),4),L!$A:$A,0)-1,SL,,)</f>
        <v>Link to "RMAP Conformant Smelter List"</v>
      </c>
      <c r="K2" s="445"/>
      <c r="L2" s="445"/>
      <c r="M2" s="445"/>
      <c r="N2" s="445"/>
      <c r="O2" s="445"/>
      <c r="P2" s="234"/>
      <c r="Q2" s="235"/>
      <c r="R2" s="236"/>
      <c r="S2" s="236"/>
      <c r="T2" s="236"/>
      <c r="U2" s="267"/>
      <c r="V2" s="267"/>
      <c r="W2" s="268"/>
      <c r="X2" s="267"/>
      <c r="Y2" s="267"/>
      <c r="Z2" s="267"/>
      <c r="AH2" s="176" t="s">
        <v>498</v>
      </c>
    </row>
    <row r="3" spans="1:34" s="269" customFormat="1" ht="243.95" customHeight="1">
      <c r="A3" s="204"/>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70"/>
      <c r="G3" s="447" t="str">
        <f ca="1">OFFSET(L!$C$1,MATCH("General"&amp;"Cpy",L!$A:$A,0)-1,SL,,)</f>
        <v>© 2020 Responsible Minerals Initiative. All rights reserved.</v>
      </c>
      <c r="H3" s="447"/>
      <c r="I3" s="44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348" t="s">
        <v>1155</v>
      </c>
      <c r="C5" s="348" t="s">
        <v>14145</v>
      </c>
      <c r="D5" s="349" t="s">
        <v>14145</v>
      </c>
      <c r="E5" s="349" t="s">
        <v>2576</v>
      </c>
      <c r="F5" s="349" t="s">
        <v>14146</v>
      </c>
      <c r="G5" s="349" t="s">
        <v>13577</v>
      </c>
      <c r="H5" s="350"/>
      <c r="I5" s="351" t="s">
        <v>15512</v>
      </c>
      <c r="J5" s="351" t="s">
        <v>1666</v>
      </c>
      <c r="K5" s="273"/>
      <c r="L5" s="273"/>
      <c r="M5" s="273"/>
      <c r="N5" s="273"/>
      <c r="O5" s="273"/>
      <c r="P5" s="220"/>
      <c r="Q5" s="274"/>
      <c r="R5" s="217" t="str">
        <f ca="1">IF(ISERROR($V5),"",OFFSET('Smelter Look-up'!$C$4,$V5-4,0)&amp;"")</f>
        <v>CP Metals Inc.</v>
      </c>
      <c r="S5" s="225" t="str">
        <f t="shared" ref="S5" ca="1" si="0">IF(B5="","",IF(ISERROR(MATCH($E5,CL,0)),"Unknown",INDIRECT("'C'!$A$"&amp;MATCH($E5,CL,0)+1)))</f>
        <v>US</v>
      </c>
      <c r="T5" s="225" t="str">
        <f ca="1">IF(B5="","",IF(ISERROR(MATCH($J5,SorP!$B$1:$B$6230,0)),"",INDIRECT("'SorP'!$A$"&amp;MATCH($J5,SorP!$B$1:$B$6230,0))))</f>
        <v>US-OH</v>
      </c>
      <c r="U5" s="241"/>
      <c r="V5" s="275">
        <f>IF(C5="",NA(),MATCH($B5&amp;$C5,'Smelter Look-up'!$J:$J,0))</f>
        <v>298</v>
      </c>
      <c r="W5" s="276"/>
      <c r="X5" s="276">
        <f t="shared" ref="X5" si="1">IF(AND(C5="Smelter not listed",OR(LEN(D5)=0,LEN(E5)=0)),1,0)</f>
        <v>0</v>
      </c>
      <c r="Y5" s="276"/>
      <c r="Z5" s="276"/>
      <c r="AB5" s="278" t="str">
        <f t="shared" ref="AB5" si="2">B5&amp;C5</f>
        <v>TantalumCP Metals Inc.</v>
      </c>
    </row>
    <row r="6" spans="1:34" s="277" customFormat="1" ht="20.100000000000001" customHeight="1">
      <c r="A6" s="332"/>
      <c r="B6" s="348" t="s">
        <v>1155</v>
      </c>
      <c r="C6" s="348" t="s">
        <v>1751</v>
      </c>
      <c r="D6" s="349" t="s">
        <v>15513</v>
      </c>
      <c r="E6" s="349" t="s">
        <v>1123</v>
      </c>
      <c r="F6" s="349" t="s">
        <v>764</v>
      </c>
      <c r="G6" s="349" t="s">
        <v>13577</v>
      </c>
      <c r="H6" s="350"/>
      <c r="I6" s="351" t="s">
        <v>1620</v>
      </c>
      <c r="J6" s="351" t="s">
        <v>13970</v>
      </c>
      <c r="K6" s="273"/>
      <c r="L6" s="273"/>
      <c r="M6" s="273"/>
      <c r="N6" s="273"/>
      <c r="O6" s="273"/>
      <c r="P6" s="220"/>
      <c r="Q6" s="274"/>
      <c r="R6" s="217" t="str">
        <f ca="1">IF(ISERROR($V6),"",OFFSET('Smelter Look-up'!$C$4,$V6-4,0)&amp;"")</f>
        <v>Changsha South Tantalum Niobium Co., Ltd.</v>
      </c>
      <c r="S6" s="225" t="str">
        <f t="shared" ref="S6:S37" ca="1" si="3">IF(B6="","",IF(ISERROR(MATCH($E6,CL,0)),"Unknown",INDIRECT("'C'!$A$"&amp;MATCH($E6,CL,0)+1)))</f>
        <v>CN</v>
      </c>
      <c r="T6" s="225" t="str">
        <f ca="1">IF(B6="","",IF(ISERROR(MATCH($J6,SorP!$B$1:$B$6230,0)),"",INDIRECT("'SorP'!$A$"&amp;MATCH($J6,SorP!$B$1:$B$6230,0))))</f>
        <v>CN-HN</v>
      </c>
      <c r="U6" s="241"/>
      <c r="V6" s="275">
        <f>IF(C6="",NA(),MATCH($B6&amp;$C6,'Smelter Look-up'!$J:$J,0))</f>
        <v>297</v>
      </c>
      <c r="W6" s="276"/>
      <c r="X6" s="276">
        <f t="shared" ref="X6:X37" si="4">IF(AND(C6="Smelter not listed",OR(LEN(D6)=0,LEN(E6)=0)),1,0)</f>
        <v>0</v>
      </c>
      <c r="Y6" s="276"/>
      <c r="Z6" s="276"/>
      <c r="AB6" s="278" t="str">
        <f t="shared" ref="AB6:AB37" si="5">B6&amp;C6</f>
        <v>TantalumChangsha Southern</v>
      </c>
    </row>
    <row r="7" spans="1:34" s="277" customFormat="1" ht="20.100000000000001" customHeight="1">
      <c r="A7" s="332"/>
      <c r="B7" s="348" t="s">
        <v>1155</v>
      </c>
      <c r="C7" s="348" t="s">
        <v>1418</v>
      </c>
      <c r="D7" s="349" t="s">
        <v>1418</v>
      </c>
      <c r="E7" s="349" t="s">
        <v>2576</v>
      </c>
      <c r="F7" s="349" t="s">
        <v>15514</v>
      </c>
      <c r="G7" s="349" t="s">
        <v>13577</v>
      </c>
      <c r="H7" s="350" t="s">
        <v>14249</v>
      </c>
      <c r="I7" s="351" t="s">
        <v>1778</v>
      </c>
      <c r="J7" s="351" t="s">
        <v>1779</v>
      </c>
      <c r="K7" s="273"/>
      <c r="L7" s="273"/>
      <c r="M7" s="273"/>
      <c r="N7" s="273"/>
      <c r="O7" s="273"/>
      <c r="P7" s="220"/>
      <c r="Q7" s="274"/>
      <c r="R7" s="217" t="str">
        <f ca="1">IF(ISERROR($V7),"",OFFSET('Smelter Look-up'!$C$4,$V7-4,0)&amp;"")</f>
        <v>D Block Metals, LLC</v>
      </c>
      <c r="S7" s="225" t="str">
        <f t="shared" ca="1" si="3"/>
        <v>US</v>
      </c>
      <c r="T7" s="225" t="str">
        <f ca="1">IF(B7="","",IF(ISERROR(MATCH($J7,SorP!$B$1:$B$6230,0)),"",INDIRECT("'SorP'!$A$"&amp;MATCH($J7,SorP!$B$1:$B$6230,0))))</f>
        <v>US-NC</v>
      </c>
      <c r="U7" s="241"/>
      <c r="V7" s="275">
        <f>IF(C7="",NA(),MATCH($B7&amp;$C7,'Smelter Look-up'!$J:$J,0))</f>
        <v>299</v>
      </c>
      <c r="W7" s="276"/>
      <c r="X7" s="276">
        <f t="shared" si="4"/>
        <v>0</v>
      </c>
      <c r="Y7" s="276"/>
      <c r="Z7" s="276"/>
      <c r="AB7" s="278" t="str">
        <f t="shared" si="5"/>
        <v>TantalumD Block Metals, LLC</v>
      </c>
    </row>
    <row r="8" spans="1:34" s="277" customFormat="1" ht="20.100000000000001" customHeight="1">
      <c r="A8" s="332"/>
      <c r="B8" s="348" t="s">
        <v>1154</v>
      </c>
      <c r="C8" s="348" t="s">
        <v>15515</v>
      </c>
      <c r="D8" s="349" t="s">
        <v>1057</v>
      </c>
      <c r="E8" s="349" t="s">
        <v>903</v>
      </c>
      <c r="F8" s="349" t="s">
        <v>794</v>
      </c>
      <c r="G8" s="349" t="s">
        <v>15516</v>
      </c>
      <c r="H8" s="350" t="s">
        <v>14249</v>
      </c>
      <c r="I8" s="351" t="s">
        <v>14249</v>
      </c>
      <c r="J8" s="351" t="s">
        <v>14249</v>
      </c>
      <c r="K8" s="273"/>
      <c r="L8" s="273"/>
      <c r="M8" s="273"/>
      <c r="N8" s="273"/>
      <c r="O8" s="273"/>
      <c r="P8" s="220"/>
      <c r="Q8" s="274"/>
      <c r="R8" s="217" t="str">
        <f ca="1">IF(ISERROR($V8),"",OFFSET('Smelter Look-up'!$C$4,$V8-4,0)&amp;"")</f>
        <v/>
      </c>
      <c r="S8" s="225" t="str">
        <f t="shared" ca="1" si="3"/>
        <v>PE</v>
      </c>
      <c r="T8" s="225" t="str">
        <f ca="1">IF(B8="","",IF(ISERROR(MATCH($J8,SorP!$B$1:$B$6230,0)),"",INDIRECT("'SorP'!$A$"&amp;MATCH($J8,SorP!$B$1:$B$6230,0))))</f>
        <v/>
      </c>
      <c r="U8" s="241"/>
      <c r="V8" s="275" t="e">
        <f>IF(C8="",NA(),MATCH($B8&amp;$C8,'Smelter Look-up'!$J:$J,0))</f>
        <v>#N/A</v>
      </c>
      <c r="W8" s="276"/>
      <c r="X8" s="276">
        <f t="shared" si="4"/>
        <v>0</v>
      </c>
      <c r="Y8" s="276"/>
      <c r="Z8" s="276"/>
      <c r="AB8" s="278" t="str">
        <f t="shared" si="5"/>
        <v>TinFunsur</v>
      </c>
    </row>
    <row r="9" spans="1:34" s="277" customFormat="1" ht="20.100000000000001" customHeight="1">
      <c r="A9" s="332"/>
      <c r="B9" s="348" t="s">
        <v>1155</v>
      </c>
      <c r="C9" s="348" t="s">
        <v>49</v>
      </c>
      <c r="D9" s="349" t="s">
        <v>49</v>
      </c>
      <c r="E9" s="349" t="s">
        <v>1119</v>
      </c>
      <c r="F9" s="349" t="s">
        <v>15517</v>
      </c>
      <c r="G9" s="349" t="s">
        <v>13577</v>
      </c>
      <c r="H9" s="350">
        <v>0</v>
      </c>
      <c r="I9" s="351" t="s">
        <v>15518</v>
      </c>
      <c r="J9" s="351" t="s">
        <v>1577</v>
      </c>
      <c r="K9" s="273"/>
      <c r="L9" s="273"/>
      <c r="M9" s="273"/>
      <c r="N9" s="273"/>
      <c r="O9" s="273"/>
      <c r="P9" s="220"/>
      <c r="Q9" s="274"/>
      <c r="R9" s="217" t="str">
        <f ca="1">IF(ISERROR($V9),"",OFFSET('Smelter Look-up'!$C$4,$V9-4,0)&amp;"")</f>
        <v>LSM Brasil S.A.</v>
      </c>
      <c r="S9" s="225" t="str">
        <f t="shared" ca="1" si="3"/>
        <v>BR</v>
      </c>
      <c r="T9" s="225" t="str">
        <f ca="1">IF(B9="","",IF(ISERROR(MATCH($J9,SorP!$B$1:$B$6230,0)),"",INDIRECT("'SorP'!$A$"&amp;MATCH($J9,SorP!$B$1:$B$6230,0))))</f>
        <v>BR-MG</v>
      </c>
      <c r="U9" s="241"/>
      <c r="V9" s="275">
        <f>IF(C9="",NA(),MATCH($B9&amp;$C9,'Smelter Look-up'!$J:$J,0))</f>
        <v>321</v>
      </c>
      <c r="W9" s="276"/>
      <c r="X9" s="276">
        <f t="shared" si="4"/>
        <v>0</v>
      </c>
      <c r="Y9" s="276"/>
      <c r="Z9" s="276"/>
      <c r="AB9" s="278" t="str">
        <f t="shared" si="5"/>
        <v>TantalumLSM Brasil S.A.</v>
      </c>
    </row>
    <row r="10" spans="1:34" s="277" customFormat="1" ht="20.100000000000001" customHeight="1">
      <c r="A10" s="332"/>
      <c r="B10" s="348" t="s">
        <v>1154</v>
      </c>
      <c r="C10" s="348" t="s">
        <v>844</v>
      </c>
      <c r="D10" s="349" t="s">
        <v>844</v>
      </c>
      <c r="E10" s="349" t="s">
        <v>1138</v>
      </c>
      <c r="F10" s="349" t="s">
        <v>792</v>
      </c>
      <c r="G10" s="349" t="s">
        <v>15516</v>
      </c>
      <c r="H10" s="350">
        <v>0</v>
      </c>
      <c r="I10" s="351" t="s">
        <v>1819</v>
      </c>
      <c r="J10" s="351" t="s">
        <v>15519</v>
      </c>
      <c r="K10" s="273"/>
      <c r="L10" s="273"/>
      <c r="M10" s="273"/>
      <c r="N10" s="273"/>
      <c r="O10" s="273"/>
      <c r="P10" s="220"/>
      <c r="Q10" s="274"/>
      <c r="R10" s="217" t="str">
        <f ca="1">IF(ISERROR($V10),"",OFFSET('Smelter Look-up'!$C$4,$V10-4,0)&amp;"")</f>
        <v>Malaysia Smelting Corporation (MSC)</v>
      </c>
      <c r="S10" s="225" t="str">
        <f t="shared" ca="1" si="3"/>
        <v>MY</v>
      </c>
      <c r="T10" s="225" t="str">
        <f ca="1">IF(B10="","",IF(ISERROR(MATCH($J10,SorP!$B$1:$B$6230,0)),"",INDIRECT("'SorP'!$A$"&amp;MATCH($J10,SorP!$B$1:$B$6230,0))))</f>
        <v/>
      </c>
      <c r="U10" s="241"/>
      <c r="V10" s="275">
        <f>IF(C10="",NA(),MATCH($B10&amp;$C10,'Smelter Look-up'!$J:$J,0))</f>
        <v>414</v>
      </c>
      <c r="W10" s="276"/>
      <c r="X10" s="276">
        <f t="shared" si="4"/>
        <v>0</v>
      </c>
      <c r="Y10" s="276"/>
      <c r="Z10" s="276"/>
      <c r="AB10" s="278" t="str">
        <f t="shared" si="5"/>
        <v>TinMalaysia Smelting Corporation (MSC)</v>
      </c>
    </row>
    <row r="11" spans="1:34" s="277" customFormat="1" ht="20.100000000000001" customHeight="1">
      <c r="A11" s="332"/>
      <c r="B11" s="348" t="s">
        <v>1154</v>
      </c>
      <c r="C11" s="348" t="s">
        <v>15520</v>
      </c>
      <c r="D11" s="349" t="s">
        <v>1056</v>
      </c>
      <c r="E11" s="349" t="s">
        <v>1119</v>
      </c>
      <c r="F11" s="349" t="s">
        <v>793</v>
      </c>
      <c r="G11" s="349" t="s">
        <v>15516</v>
      </c>
      <c r="H11" s="350" t="s">
        <v>14249</v>
      </c>
      <c r="I11" s="351" t="s">
        <v>14249</v>
      </c>
      <c r="J11" s="351" t="s">
        <v>14249</v>
      </c>
      <c r="K11" s="273"/>
      <c r="L11" s="273"/>
      <c r="M11" s="273"/>
      <c r="N11" s="273"/>
      <c r="O11" s="273"/>
      <c r="P11" s="220"/>
      <c r="Q11" s="274"/>
      <c r="R11" s="217" t="str">
        <f ca="1">IF(ISERROR($V11),"",OFFSET('Smelter Look-up'!$C$4,$V11-4,0)&amp;"")</f>
        <v/>
      </c>
      <c r="S11" s="225" t="str">
        <f t="shared" ca="1" si="3"/>
        <v>BR</v>
      </c>
      <c r="T11" s="225" t="str">
        <f ca="1">IF(B11="","",IF(ISERROR(MATCH($J11,SorP!$B$1:$B$6230,0)),"",INDIRECT("'SorP'!$A$"&amp;MATCH($J11,SorP!$B$1:$B$6230,0))))</f>
        <v/>
      </c>
      <c r="U11" s="241"/>
      <c r="V11" s="275" t="e">
        <f>IF(C11="",NA(),MATCH($B11&amp;$C11,'Smelter Look-up'!$J:$J,0))</f>
        <v>#N/A</v>
      </c>
      <c r="W11" s="276"/>
      <c r="X11" s="276">
        <f t="shared" si="4"/>
        <v>0</v>
      </c>
      <c r="Y11" s="276"/>
      <c r="Z11" s="276"/>
      <c r="AB11" s="278" t="str">
        <f t="shared" si="5"/>
        <v>TinTaboca</v>
      </c>
    </row>
    <row r="12" spans="1:34" s="277" customFormat="1" ht="20.100000000000001" customHeight="1">
      <c r="A12" s="332"/>
      <c r="B12" s="348" t="s">
        <v>1154</v>
      </c>
      <c r="C12" s="348" t="s">
        <v>865</v>
      </c>
      <c r="D12" s="349" t="s">
        <v>865</v>
      </c>
      <c r="E12" s="349" t="s">
        <v>15521</v>
      </c>
      <c r="F12" s="349" t="s">
        <v>784</v>
      </c>
      <c r="G12" s="349" t="s">
        <v>15516</v>
      </c>
      <c r="H12" s="350">
        <v>0</v>
      </c>
      <c r="I12" s="351" t="s">
        <v>1807</v>
      </c>
      <c r="J12" s="351" t="s">
        <v>15522</v>
      </c>
      <c r="K12" s="273"/>
      <c r="L12" s="273"/>
      <c r="M12" s="273"/>
      <c r="N12" s="273"/>
      <c r="O12" s="273"/>
      <c r="P12" s="220"/>
      <c r="Q12" s="274"/>
      <c r="R12" s="217" t="str">
        <f ca="1">IF(ISERROR($V12),"",OFFSET('Smelter Look-up'!$C$4,$V12-4,0)&amp;"")</f>
        <v>EM Vinto</v>
      </c>
      <c r="S12" s="225" t="str">
        <f t="shared" ca="1" si="3"/>
        <v>Unknown</v>
      </c>
      <c r="T12" s="225" t="str">
        <f ca="1">IF(B12="","",IF(ISERROR(MATCH($J12,SorP!$B$1:$B$6230,0)),"",INDIRECT("'SorP'!$A$"&amp;MATCH($J12,SorP!$B$1:$B$6230,0))))</f>
        <v/>
      </c>
      <c r="U12" s="241"/>
      <c r="V12" s="275">
        <f>IF(C12="",NA(),MATCH($B12&amp;$C12,'Smelter Look-up'!$J:$J,0))</f>
        <v>377</v>
      </c>
      <c r="W12" s="276"/>
      <c r="X12" s="276">
        <f t="shared" si="4"/>
        <v>0</v>
      </c>
      <c r="Y12" s="276"/>
      <c r="Z12" s="276"/>
      <c r="AB12" s="278" t="str">
        <f t="shared" si="5"/>
        <v>TinEM Vinto</v>
      </c>
    </row>
    <row r="13" spans="1:34" s="277" customFormat="1" ht="20.100000000000001" customHeight="1">
      <c r="A13" s="332"/>
      <c r="B13" s="348" t="s">
        <v>1154</v>
      </c>
      <c r="C13" s="348" t="s">
        <v>1057</v>
      </c>
      <c r="D13" s="349" t="s">
        <v>1057</v>
      </c>
      <c r="E13" s="349" t="s">
        <v>903</v>
      </c>
      <c r="F13" s="349" t="s">
        <v>794</v>
      </c>
      <c r="G13" s="349" t="s">
        <v>15516</v>
      </c>
      <c r="H13" s="350">
        <v>0</v>
      </c>
      <c r="I13" s="351" t="s">
        <v>1824</v>
      </c>
      <c r="J13" s="351" t="s">
        <v>1825</v>
      </c>
      <c r="K13" s="273"/>
      <c r="L13" s="273"/>
      <c r="M13" s="273"/>
      <c r="N13" s="273"/>
      <c r="O13" s="273"/>
      <c r="P13" s="220"/>
      <c r="Q13" s="274"/>
      <c r="R13" s="217" t="str">
        <f ca="1">IF(ISERROR($V13),"",OFFSET('Smelter Look-up'!$C$4,$V13-4,0)&amp;"")</f>
        <v>Minsur</v>
      </c>
      <c r="S13" s="225" t="str">
        <f t="shared" ca="1" si="3"/>
        <v>PE</v>
      </c>
      <c r="T13" s="225" t="str">
        <f ca="1">IF(B13="","",IF(ISERROR(MATCH($J13,SorP!$B$1:$B$6230,0)),"",INDIRECT("'SorP'!$A$"&amp;MATCH($J13,SorP!$B$1:$B$6230,0))))</f>
        <v>PE-ICA</v>
      </c>
      <c r="U13" s="241"/>
      <c r="V13" s="275">
        <f>IF(C13="",NA(),MATCH($B13&amp;$C13,'Smelter Look-up'!$J:$J,0))</f>
        <v>424</v>
      </c>
      <c r="W13" s="276"/>
      <c r="X13" s="276">
        <f t="shared" si="4"/>
        <v>0</v>
      </c>
      <c r="Y13" s="276"/>
      <c r="Z13" s="276"/>
      <c r="AB13" s="278" t="str">
        <f t="shared" si="5"/>
        <v>TinMinsur</v>
      </c>
    </row>
    <row r="14" spans="1:34" s="277" customFormat="1" ht="20.100000000000001" customHeight="1">
      <c r="A14" s="332"/>
      <c r="B14" s="348" t="s">
        <v>1154</v>
      </c>
      <c r="C14" s="348" t="s">
        <v>1350</v>
      </c>
      <c r="D14" s="349" t="s">
        <v>1350</v>
      </c>
      <c r="E14" s="349"/>
      <c r="F14" s="349" t="s">
        <v>791</v>
      </c>
      <c r="G14" s="349" t="s">
        <v>13577</v>
      </c>
      <c r="H14" s="350">
        <v>0</v>
      </c>
      <c r="I14" s="351" t="s">
        <v>1814</v>
      </c>
      <c r="J14" s="351" t="s">
        <v>13950</v>
      </c>
      <c r="K14" s="273"/>
      <c r="L14" s="273"/>
      <c r="M14" s="273"/>
      <c r="N14" s="273"/>
      <c r="O14" s="273"/>
      <c r="P14" s="220"/>
      <c r="Q14" s="274"/>
      <c r="R14" s="217" t="str">
        <f ca="1">IF(ISERROR($V14),"",OFFSET('Smelter Look-up'!$C$4,$V14-4,0)&amp;"")</f>
        <v>China Tin Group Co., Ltd.</v>
      </c>
      <c r="S14" s="225" t="str">
        <f t="shared" ca="1" si="3"/>
        <v>Unknown</v>
      </c>
      <c r="T14" s="225" t="str">
        <f ca="1">IF(B14="","",IF(ISERROR(MATCH($J14,SorP!$B$1:$B$6230,0)),"",INDIRECT("'SorP'!$A$"&amp;MATCH($J14,SorP!$B$1:$B$6230,0))))</f>
        <v>CN-GX</v>
      </c>
      <c r="U14" s="241"/>
      <c r="V14" s="275">
        <f>IF(C14="",NA(),MATCH($B14&amp;$C14,'Smelter Look-up'!$J:$J,0))</f>
        <v>367</v>
      </c>
      <c r="W14" s="276"/>
      <c r="X14" s="276">
        <f t="shared" si="4"/>
        <v>0</v>
      </c>
      <c r="Y14" s="276"/>
      <c r="Z14" s="276"/>
      <c r="AB14" s="278" t="str">
        <f t="shared" si="5"/>
        <v>TinChina Tin Group Co., Ltd.</v>
      </c>
    </row>
    <row r="15" spans="1:34" s="277" customFormat="1" ht="20.100000000000001" customHeight="1">
      <c r="A15" s="332"/>
      <c r="B15" s="348" t="s">
        <v>1154</v>
      </c>
      <c r="C15" s="348" t="s">
        <v>1054</v>
      </c>
      <c r="D15" s="349" t="s">
        <v>1054</v>
      </c>
      <c r="E15" s="349" t="s">
        <v>911</v>
      </c>
      <c r="F15" s="349" t="s">
        <v>806</v>
      </c>
      <c r="G15" s="349" t="s">
        <v>15516</v>
      </c>
      <c r="H15" s="350">
        <v>0</v>
      </c>
      <c r="I15" s="351" t="s">
        <v>1836</v>
      </c>
      <c r="J15" s="351" t="s">
        <v>1837</v>
      </c>
      <c r="K15" s="273"/>
      <c r="L15" s="273"/>
      <c r="M15" s="273"/>
      <c r="N15" s="273"/>
      <c r="O15" s="273"/>
      <c r="P15" s="220"/>
      <c r="Q15" s="274"/>
      <c r="R15" s="217" t="str">
        <f ca="1">IF(ISERROR($V15),"",OFFSET('Smelter Look-up'!$C$4,$V15-4,0)&amp;"")</f>
        <v>Thaisarco</v>
      </c>
      <c r="S15" s="225" t="str">
        <f t="shared" ca="1" si="3"/>
        <v>TH</v>
      </c>
      <c r="T15" s="225" t="str">
        <f ca="1">IF(B15="","",IF(ISERROR(MATCH($J15,SorP!$B$1:$B$6230,0)),"",INDIRECT("'SorP'!$A$"&amp;MATCH($J15,SorP!$B$1:$B$6230,0))))</f>
        <v>TH-83</v>
      </c>
      <c r="U15" s="241"/>
      <c r="V15" s="275">
        <f>IF(C15="",NA(),MATCH($B15&amp;$C15,'Smelter Look-up'!$J:$J,0))</f>
        <v>458</v>
      </c>
      <c r="W15" s="276"/>
      <c r="X15" s="276">
        <f t="shared" si="4"/>
        <v>0</v>
      </c>
      <c r="Y15" s="276"/>
      <c r="Z15" s="276"/>
      <c r="AB15" s="278" t="str">
        <f t="shared" si="5"/>
        <v>TinThaisarco</v>
      </c>
    </row>
    <row r="16" spans="1:34" s="277" customFormat="1" ht="20.100000000000001" customHeight="1">
      <c r="A16" s="332"/>
      <c r="B16" s="348" t="s">
        <v>1154</v>
      </c>
      <c r="C16" s="348" t="s">
        <v>15523</v>
      </c>
      <c r="D16" s="349" t="s">
        <v>15523</v>
      </c>
      <c r="E16" s="349" t="s">
        <v>1128</v>
      </c>
      <c r="F16" s="349" t="s">
        <v>15524</v>
      </c>
      <c r="G16" s="349" t="s">
        <v>15516</v>
      </c>
      <c r="H16" s="350" t="s">
        <v>14249</v>
      </c>
      <c r="I16" s="351" t="s">
        <v>14249</v>
      </c>
      <c r="J16" s="351" t="s">
        <v>14249</v>
      </c>
      <c r="K16" s="273"/>
      <c r="L16" s="273"/>
      <c r="M16" s="273"/>
      <c r="N16" s="273"/>
      <c r="O16" s="273"/>
      <c r="P16" s="220"/>
      <c r="Q16" s="274"/>
      <c r="R16" s="217" t="str">
        <f ca="1">IF(ISERROR($V16),"",OFFSET('Smelter Look-up'!$C$4,$V16-4,0)&amp;"")</f>
        <v/>
      </c>
      <c r="S16" s="225" t="str">
        <f t="shared" ca="1" si="3"/>
        <v>ID</v>
      </c>
      <c r="T16" s="225" t="str">
        <f ca="1">IF(B16="","",IF(ISERROR(MATCH($J16,SorP!$B$1:$B$6230,0)),"",INDIRECT("'SorP'!$A$"&amp;MATCH($J16,SorP!$B$1:$B$6230,0))))</f>
        <v/>
      </c>
      <c r="U16" s="241"/>
      <c r="V16" s="275" t="e">
        <f>IF(C16="",NA(),MATCH($B16&amp;$C16,'Smelter Look-up'!$J:$J,0))</f>
        <v>#N/A</v>
      </c>
      <c r="W16" s="276"/>
      <c r="X16" s="276">
        <f t="shared" si="4"/>
        <v>0</v>
      </c>
      <c r="Y16" s="276"/>
      <c r="Z16" s="276"/>
      <c r="AB16" s="278" t="str">
        <f t="shared" si="5"/>
        <v>TinPT Bangka Putra Karya</v>
      </c>
    </row>
    <row r="17" spans="1:28" s="277" customFormat="1" ht="20.100000000000001" customHeight="1">
      <c r="A17" s="332"/>
      <c r="B17" s="348" t="s">
        <v>1154</v>
      </c>
      <c r="C17" s="348" t="s">
        <v>1056</v>
      </c>
      <c r="D17" s="349" t="s">
        <v>1056</v>
      </c>
      <c r="E17" s="349" t="s">
        <v>1119</v>
      </c>
      <c r="F17" s="349" t="s">
        <v>793</v>
      </c>
      <c r="G17" s="349" t="s">
        <v>15516</v>
      </c>
      <c r="H17" s="350">
        <v>0</v>
      </c>
      <c r="I17" s="351" t="s">
        <v>1822</v>
      </c>
      <c r="J17" s="351" t="s">
        <v>1708</v>
      </c>
      <c r="K17" s="273"/>
      <c r="L17" s="273"/>
      <c r="M17" s="273"/>
      <c r="N17" s="273"/>
      <c r="O17" s="273"/>
      <c r="P17" s="220"/>
      <c r="Q17" s="274"/>
      <c r="R17" s="217" t="str">
        <f ca="1">IF(ISERROR($V17),"",OFFSET('Smelter Look-up'!$C$4,$V17-4,0)&amp;"")</f>
        <v>Mineracao Taboca S.A.</v>
      </c>
      <c r="S17" s="225" t="str">
        <f t="shared" ca="1" si="3"/>
        <v>BR</v>
      </c>
      <c r="T17" s="225" t="str">
        <f ca="1">IF(B17="","",IF(ISERROR(MATCH($J17,SorP!$B$1:$B$6230,0)),"",INDIRECT("'SorP'!$A$"&amp;MATCH($J17,SorP!$B$1:$B$6230,0))))</f>
        <v>BR-SP</v>
      </c>
      <c r="U17" s="241"/>
      <c r="V17" s="275">
        <f>IF(C17="",NA(),MATCH($B17&amp;$C17,'Smelter Look-up'!$J:$J,0))</f>
        <v>422</v>
      </c>
      <c r="W17" s="276"/>
      <c r="X17" s="276">
        <f t="shared" si="4"/>
        <v>0</v>
      </c>
      <c r="Y17" s="276"/>
      <c r="Z17" s="276"/>
      <c r="AB17" s="278" t="str">
        <f t="shared" si="5"/>
        <v>TinMineração Taboca S.A.</v>
      </c>
    </row>
    <row r="18" spans="1:28" s="277" customFormat="1" ht="20.100000000000001" customHeight="1">
      <c r="A18" s="216"/>
      <c r="B18" s="348" t="s">
        <v>1154</v>
      </c>
      <c r="C18" s="348" t="s">
        <v>52</v>
      </c>
      <c r="D18" s="349" t="s">
        <v>52</v>
      </c>
      <c r="E18" s="349" t="s">
        <v>1119</v>
      </c>
      <c r="F18" s="349" t="s">
        <v>807</v>
      </c>
      <c r="G18" s="349" t="s">
        <v>15516</v>
      </c>
      <c r="H18" s="350">
        <v>0</v>
      </c>
      <c r="I18" s="351" t="s">
        <v>1804</v>
      </c>
      <c r="J18" s="351" t="s">
        <v>15525</v>
      </c>
      <c r="K18" s="273"/>
      <c r="L18" s="273"/>
      <c r="M18" s="273"/>
      <c r="N18" s="273"/>
      <c r="O18" s="273"/>
      <c r="P18" s="220"/>
      <c r="Q18" s="274"/>
      <c r="R18" s="217" t="str">
        <f ca="1">IF(ISERROR($V18),"",OFFSET('Smelter Look-up'!$C$4,$V18-4,0)&amp;"")</f>
        <v>White Solder Metalurgia e Mineracao Ltda.</v>
      </c>
      <c r="S18" s="225" t="str">
        <f t="shared" ca="1" si="3"/>
        <v>BR</v>
      </c>
      <c r="T18" s="225" t="str">
        <f ca="1">IF(B18="","",IF(ISERROR(MATCH($J18,SorP!$B$1:$B$6230,0)),"",INDIRECT("'SorP'!$A$"&amp;MATCH($J18,SorP!$B$1:$B$6230,0))))</f>
        <v/>
      </c>
      <c r="U18" s="241"/>
      <c r="V18" s="275">
        <f>IF(C18="",NA(),MATCH($B18&amp;$C18,'Smelter Look-up'!$J:$J,0))</f>
        <v>466</v>
      </c>
      <c r="W18" s="276"/>
      <c r="X18" s="276">
        <f t="shared" si="4"/>
        <v>0</v>
      </c>
      <c r="Y18" s="276"/>
      <c r="Z18" s="276"/>
      <c r="AB18" s="278" t="str">
        <f t="shared" si="5"/>
        <v>TinWhite Solder Metalurgia e Mineração Ltda.</v>
      </c>
    </row>
    <row r="19" spans="1:28" s="277" customFormat="1" ht="89.25">
      <c r="A19" s="216"/>
      <c r="B19" s="348" t="s">
        <v>1154</v>
      </c>
      <c r="C19" s="348" t="s">
        <v>15526</v>
      </c>
      <c r="D19" s="349" t="s">
        <v>15526</v>
      </c>
      <c r="E19" s="349" t="s">
        <v>1123</v>
      </c>
      <c r="F19" s="349" t="s">
        <v>808</v>
      </c>
      <c r="G19" s="349" t="s">
        <v>15516</v>
      </c>
      <c r="H19" s="350" t="s">
        <v>14249</v>
      </c>
      <c r="I19" s="351" t="s">
        <v>14249</v>
      </c>
      <c r="J19" s="351" t="s">
        <v>14249</v>
      </c>
      <c r="K19" s="273"/>
      <c r="L19" s="273"/>
      <c r="M19" s="273"/>
      <c r="N19" s="273"/>
      <c r="O19" s="273"/>
      <c r="P19" s="220"/>
      <c r="Q19" s="274"/>
      <c r="R19" s="217" t="str">
        <f ca="1">IF(ISERROR($V19),"",OFFSET('Smelter Look-up'!$C$4,$V19-4,0)&amp;"")</f>
        <v/>
      </c>
      <c r="S19" s="225" t="str">
        <f t="shared" ca="1" si="3"/>
        <v>CN</v>
      </c>
      <c r="T19" s="225" t="str">
        <f ca="1">IF(B19="","",IF(ISERROR(MATCH($J19,SorP!$B$1:$B$6230,0)),"",INDIRECT("'SorP'!$A$"&amp;MATCH($J19,SorP!$B$1:$B$6230,0))))</f>
        <v/>
      </c>
      <c r="U19" s="241"/>
      <c r="V19" s="275" t="e">
        <f>IF(C19="",NA(),MATCH($B19&amp;$C19,'Smelter Look-up'!$J:$J,0))</f>
        <v>#N/A</v>
      </c>
      <c r="W19" s="276"/>
      <c r="X19" s="276">
        <f t="shared" si="4"/>
        <v>0</v>
      </c>
      <c r="Y19" s="276"/>
      <c r="Z19" s="276"/>
      <c r="AB19" s="278" t="str">
        <f t="shared" si="5"/>
        <v>TinYunnan Chengfeng Non-ferrous Metals Co.,Ltd.</v>
      </c>
    </row>
    <row r="20" spans="1:28" s="277" customFormat="1" ht="25.5">
      <c r="A20" s="216"/>
      <c r="B20" s="348" t="s">
        <v>1154</v>
      </c>
      <c r="C20" s="348" t="s">
        <v>866</v>
      </c>
      <c r="D20" s="349" t="s">
        <v>866</v>
      </c>
      <c r="E20" s="349" t="s">
        <v>1123</v>
      </c>
      <c r="F20" s="349" t="s">
        <v>788</v>
      </c>
      <c r="G20" s="349" t="s">
        <v>15516</v>
      </c>
      <c r="H20" s="350">
        <v>0</v>
      </c>
      <c r="I20" s="351" t="s">
        <v>15527</v>
      </c>
      <c r="J20" s="351" t="s">
        <v>15528</v>
      </c>
      <c r="K20" s="273"/>
      <c r="L20" s="273"/>
      <c r="M20" s="273"/>
      <c r="N20" s="273"/>
      <c r="O20" s="273"/>
      <c r="P20" s="220"/>
      <c r="Q20" s="274"/>
      <c r="R20" s="217" t="str">
        <f ca="1">IF(ISERROR($V20),"",OFFSET('Smelter Look-up'!$C$4,$V20-4,0)&amp;"")</f>
        <v>Gejiu Zili Mining And Metallurgy Co., Ltd.</v>
      </c>
      <c r="S20" s="225" t="str">
        <f t="shared" ca="1" si="3"/>
        <v>CN</v>
      </c>
      <c r="T20" s="225" t="str">
        <f ca="1">IF(B20="","",IF(ISERROR(MATCH($J20,SorP!$B$1:$B$6230,0)),"",INDIRECT("'SorP'!$A$"&amp;MATCH($J20,SorP!$B$1:$B$6230,0))))</f>
        <v/>
      </c>
      <c r="U20" s="241"/>
      <c r="V20" s="275">
        <f>IF(C20="",NA(),MATCH($B20&amp;$C20,'Smelter Look-up'!$J:$J,0))</f>
        <v>391</v>
      </c>
      <c r="W20" s="276"/>
      <c r="X20" s="276">
        <f t="shared" si="4"/>
        <v>0</v>
      </c>
      <c r="Y20" s="276"/>
      <c r="Z20" s="276"/>
      <c r="AB20" s="278" t="str">
        <f t="shared" si="5"/>
        <v>TinGejiu Zi-Li</v>
      </c>
    </row>
    <row r="21" spans="1:28" s="277" customFormat="1" ht="63.75">
      <c r="A21" s="216"/>
      <c r="B21" s="348" t="s">
        <v>1154</v>
      </c>
      <c r="C21" s="348" t="s">
        <v>15529</v>
      </c>
      <c r="D21" s="349" t="s">
        <v>15529</v>
      </c>
      <c r="E21" s="349" t="s">
        <v>1128</v>
      </c>
      <c r="F21" s="349" t="s">
        <v>15530</v>
      </c>
      <c r="G21" s="349" t="s">
        <v>15516</v>
      </c>
      <c r="H21" s="350">
        <v>0</v>
      </c>
      <c r="I21" s="351" t="s">
        <v>15531</v>
      </c>
      <c r="J21" s="351" t="s">
        <v>15532</v>
      </c>
      <c r="K21" s="273"/>
      <c r="L21" s="273"/>
      <c r="M21" s="273"/>
      <c r="N21" s="273"/>
      <c r="O21" s="273"/>
      <c r="P21" s="220"/>
      <c r="Q21" s="274"/>
      <c r="R21" s="217" t="str">
        <f ca="1">IF(ISERROR($V21),"",OFFSET('Smelter Look-up'!$C$4,$V21-4,0)&amp;"")</f>
        <v/>
      </c>
      <c r="S21" s="225" t="str">
        <f t="shared" ca="1" si="3"/>
        <v>ID</v>
      </c>
      <c r="T21" s="225" t="str">
        <f ca="1">IF(B21="","",IF(ISERROR(MATCH($J21,SorP!$B$1:$B$6230,0)),"",INDIRECT("'SorP'!$A$"&amp;MATCH($J21,SorP!$B$1:$B$6230,0))))</f>
        <v/>
      </c>
      <c r="U21" s="241"/>
      <c r="V21" s="275" t="e">
        <f>IF(C21="",NA(),MATCH($B21&amp;$C21,'Smelter Look-up'!$J:$J,0))</f>
        <v>#N/A</v>
      </c>
      <c r="W21" s="276"/>
      <c r="X21" s="276">
        <f t="shared" si="4"/>
        <v>0</v>
      </c>
      <c r="Y21" s="276"/>
      <c r="Z21" s="276"/>
      <c r="AB21" s="278" t="str">
        <f t="shared" si="5"/>
        <v>TinPT Belitung Industri Sejahtera</v>
      </c>
    </row>
    <row r="22" spans="1:28" s="277" customFormat="1" ht="76.5">
      <c r="A22" s="216"/>
      <c r="B22" s="348" t="s">
        <v>1154</v>
      </c>
      <c r="C22" s="348" t="s">
        <v>15533</v>
      </c>
      <c r="D22" s="349" t="s">
        <v>1054</v>
      </c>
      <c r="E22" s="349" t="s">
        <v>911</v>
      </c>
      <c r="F22" s="349" t="s">
        <v>806</v>
      </c>
      <c r="G22" s="349" t="s">
        <v>15516</v>
      </c>
      <c r="H22" s="350" t="s">
        <v>14249</v>
      </c>
      <c r="I22" s="351" t="s">
        <v>14249</v>
      </c>
      <c r="J22" s="351" t="s">
        <v>14249</v>
      </c>
      <c r="K22" s="273"/>
      <c r="L22" s="273"/>
      <c r="M22" s="273"/>
      <c r="N22" s="273"/>
      <c r="O22" s="273"/>
      <c r="P22" s="220"/>
      <c r="Q22" s="274"/>
      <c r="R22" s="217" t="str">
        <f ca="1">IF(ISERROR($V22),"",OFFSET('Smelter Look-up'!$C$4,$V22-4,0)&amp;"")</f>
        <v/>
      </c>
      <c r="S22" s="225" t="str">
        <f t="shared" ca="1" si="3"/>
        <v>TH</v>
      </c>
      <c r="T22" s="225" t="str">
        <f ca="1">IF(B22="","",IF(ISERROR(MATCH($J22,SorP!$B$1:$B$6230,0)),"",INDIRECT("'SorP'!$A$"&amp;MATCH($J22,SorP!$B$1:$B$6230,0))))</f>
        <v/>
      </c>
      <c r="U22" s="241"/>
      <c r="V22" s="275" t="e">
        <f>IF(C22="",NA(),MATCH($B22&amp;$C22,'Smelter Look-up'!$J:$J,0))</f>
        <v>#N/A</v>
      </c>
      <c r="W22" s="276"/>
      <c r="X22" s="276">
        <f t="shared" si="4"/>
        <v>0</v>
      </c>
      <c r="Y22" s="276"/>
      <c r="Z22" s="276"/>
      <c r="AB22" s="278" t="str">
        <f t="shared" si="5"/>
        <v>TinThailand Smelting &amp; Refining Co., Ltd</v>
      </c>
    </row>
    <row r="23" spans="1:28" s="277" customFormat="1" ht="63.75">
      <c r="A23" s="216"/>
      <c r="B23" s="348" t="s">
        <v>1154</v>
      </c>
      <c r="C23" s="348" t="s">
        <v>15534</v>
      </c>
      <c r="D23" s="349" t="s">
        <v>15535</v>
      </c>
      <c r="E23" s="349" t="s">
        <v>1128</v>
      </c>
      <c r="F23" s="349" t="s">
        <v>802</v>
      </c>
      <c r="G23" s="349" t="s">
        <v>15516</v>
      </c>
      <c r="H23" s="350" t="s">
        <v>14249</v>
      </c>
      <c r="I23" s="351" t="s">
        <v>14249</v>
      </c>
      <c r="J23" s="351" t="s">
        <v>14249</v>
      </c>
      <c r="K23" s="273"/>
      <c r="L23" s="273"/>
      <c r="M23" s="273"/>
      <c r="N23" s="273"/>
      <c r="O23" s="273"/>
      <c r="P23" s="220"/>
      <c r="Q23" s="274"/>
      <c r="R23" s="217" t="str">
        <f ca="1">IF(ISERROR($V23),"",OFFSET('Smelter Look-up'!$C$4,$V23-4,0)&amp;"")</f>
        <v/>
      </c>
      <c r="S23" s="225" t="str">
        <f t="shared" ca="1" si="3"/>
        <v>ID</v>
      </c>
      <c r="T23" s="225" t="str">
        <f ca="1">IF(B23="","",IF(ISERROR(MATCH($J23,SorP!$B$1:$B$6230,0)),"",INDIRECT("'SorP'!$A$"&amp;MATCH($J23,SorP!$B$1:$B$6230,0))))</f>
        <v/>
      </c>
      <c r="U23" s="241"/>
      <c r="V23" s="275" t="e">
        <f>IF(C23="",NA(),MATCH($B23&amp;$C23,'Smelter Look-up'!$J:$J,0))</f>
        <v>#N/A</v>
      </c>
      <c r="W23" s="276"/>
      <c r="X23" s="276">
        <f t="shared" si="4"/>
        <v>0</v>
      </c>
      <c r="Y23" s="276"/>
      <c r="Z23" s="276"/>
      <c r="AB23" s="278" t="str">
        <f t="shared" si="5"/>
        <v>TinMentok Smelter (PT Timah)</v>
      </c>
    </row>
    <row r="24" spans="1:28" s="277" customFormat="1" ht="63.75">
      <c r="A24" s="216"/>
      <c r="B24" s="348" t="s">
        <v>1154</v>
      </c>
      <c r="C24" s="348" t="s">
        <v>15529</v>
      </c>
      <c r="D24" s="349" t="s">
        <v>15529</v>
      </c>
      <c r="E24" s="349" t="s">
        <v>1128</v>
      </c>
      <c r="F24" s="349" t="s">
        <v>15530</v>
      </c>
      <c r="G24" s="349" t="s">
        <v>15516</v>
      </c>
      <c r="H24" s="350">
        <v>0</v>
      </c>
      <c r="I24" s="351" t="s">
        <v>15531</v>
      </c>
      <c r="J24" s="351" t="s">
        <v>15532</v>
      </c>
      <c r="K24" s="273"/>
      <c r="L24" s="273"/>
      <c r="M24" s="273"/>
      <c r="N24" s="273"/>
      <c r="O24" s="273"/>
      <c r="P24" s="220"/>
      <c r="Q24" s="274"/>
      <c r="R24" s="217" t="str">
        <f ca="1">IF(ISERROR($V24),"",OFFSET('Smelter Look-up'!$C$4,$V24-4,0)&amp;"")</f>
        <v/>
      </c>
      <c r="S24" s="225" t="str">
        <f t="shared" ca="1" si="3"/>
        <v>ID</v>
      </c>
      <c r="T24" s="225" t="str">
        <f ca="1">IF(B24="","",IF(ISERROR(MATCH($J24,SorP!$B$1:$B$6230,0)),"",INDIRECT("'SorP'!$A$"&amp;MATCH($J24,SorP!$B$1:$B$6230,0))))</f>
        <v/>
      </c>
      <c r="U24" s="241"/>
      <c r="V24" s="275" t="e">
        <f>IF(C24="",NA(),MATCH($B24&amp;$C24,'Smelter Look-up'!$J:$J,0))</f>
        <v>#N/A</v>
      </c>
      <c r="W24" s="276"/>
      <c r="X24" s="276">
        <f t="shared" si="4"/>
        <v>0</v>
      </c>
      <c r="Y24" s="276"/>
      <c r="Z24" s="276"/>
      <c r="AB24" s="278" t="str">
        <f t="shared" si="5"/>
        <v>TinPT Belitung Industri Sejahtera</v>
      </c>
    </row>
    <row r="25" spans="1:28" s="277" customFormat="1" ht="76.5">
      <c r="A25" s="216"/>
      <c r="B25" s="348" t="s">
        <v>1154</v>
      </c>
      <c r="C25" s="348" t="s">
        <v>15533</v>
      </c>
      <c r="D25" s="349" t="s">
        <v>1054</v>
      </c>
      <c r="E25" s="349" t="s">
        <v>911</v>
      </c>
      <c r="F25" s="349" t="s">
        <v>806</v>
      </c>
      <c r="G25" s="349" t="s">
        <v>15516</v>
      </c>
      <c r="H25" s="350" t="s">
        <v>14249</v>
      </c>
      <c r="I25" s="351" t="s">
        <v>14249</v>
      </c>
      <c r="J25" s="351" t="s">
        <v>14249</v>
      </c>
      <c r="K25" s="273"/>
      <c r="L25" s="273"/>
      <c r="M25" s="273"/>
      <c r="N25" s="273"/>
      <c r="O25" s="273"/>
      <c r="P25" s="220"/>
      <c r="Q25" s="274"/>
      <c r="R25" s="217" t="str">
        <f ca="1">IF(ISERROR($V25),"",OFFSET('Smelter Look-up'!$C$4,$V25-4,0)&amp;"")</f>
        <v/>
      </c>
      <c r="S25" s="225" t="str">
        <f t="shared" ca="1" si="3"/>
        <v>TH</v>
      </c>
      <c r="T25" s="225" t="str">
        <f ca="1">IF(B25="","",IF(ISERROR(MATCH($J25,SorP!$B$1:$B$6230,0)),"",INDIRECT("'SorP'!$A$"&amp;MATCH($J25,SorP!$B$1:$B$6230,0))))</f>
        <v/>
      </c>
      <c r="U25" s="241"/>
      <c r="V25" s="275" t="e">
        <f>IF(C25="",NA(),MATCH($B25&amp;$C25,'Smelter Look-up'!$J:$J,0))</f>
        <v>#N/A</v>
      </c>
      <c r="W25" s="276"/>
      <c r="X25" s="276">
        <f t="shared" si="4"/>
        <v>0</v>
      </c>
      <c r="Y25" s="276"/>
      <c r="Z25" s="276"/>
      <c r="AB25" s="278" t="str">
        <f t="shared" si="5"/>
        <v>TinThailand Smelting &amp; Refining Co., Ltd</v>
      </c>
    </row>
    <row r="26" spans="1:28" s="277" customFormat="1" ht="20.25">
      <c r="A26" s="216"/>
      <c r="B26" s="348"/>
      <c r="C26" s="348"/>
      <c r="D26" s="349"/>
      <c r="E26" s="349"/>
      <c r="F26" s="349"/>
      <c r="G26" s="349"/>
      <c r="H26" s="350" t="s">
        <v>14249</v>
      </c>
      <c r="I26" s="351" t="s">
        <v>14249</v>
      </c>
      <c r="J26" s="351" t="s">
        <v>14249</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si="4"/>
        <v>0</v>
      </c>
      <c r="Y26" s="276"/>
      <c r="Z26" s="276"/>
      <c r="AB26" s="278" t="str">
        <f t="shared" si="5"/>
        <v/>
      </c>
    </row>
    <row r="27" spans="1:28" s="277" customFormat="1" ht="89.25">
      <c r="A27" s="216"/>
      <c r="B27" s="348" t="s">
        <v>1154</v>
      </c>
      <c r="C27" s="348" t="s">
        <v>1045</v>
      </c>
      <c r="D27" s="349" t="s">
        <v>865</v>
      </c>
      <c r="E27" s="349" t="s">
        <v>15521</v>
      </c>
      <c r="F27" s="349" t="s">
        <v>784</v>
      </c>
      <c r="G27" s="349" t="s">
        <v>15516</v>
      </c>
      <c r="H27" s="350">
        <v>0</v>
      </c>
      <c r="I27" s="351" t="s">
        <v>1807</v>
      </c>
      <c r="J27" s="351" t="s">
        <v>15522</v>
      </c>
      <c r="K27" s="273"/>
      <c r="L27" s="273"/>
      <c r="M27" s="273"/>
      <c r="N27" s="273"/>
      <c r="O27" s="273"/>
      <c r="P27" s="220"/>
      <c r="Q27" s="274"/>
      <c r="R27" s="217" t="str">
        <f ca="1">IF(ISERROR($V27),"",OFFSET('Smelter Look-up'!$C$4,$V27-4,0)&amp;"")</f>
        <v>EM Vinto</v>
      </c>
      <c r="S27" s="225" t="str">
        <f t="shared" ca="1" si="3"/>
        <v>Unknown</v>
      </c>
      <c r="T27" s="225" t="str">
        <f ca="1">IF(B27="","",IF(ISERROR(MATCH($J27,SorP!$B$1:$B$6230,0)),"",INDIRECT("'SorP'!$A$"&amp;MATCH($J27,SorP!$B$1:$B$6230,0))))</f>
        <v/>
      </c>
      <c r="U27" s="241"/>
      <c r="V27" s="275">
        <f>IF(C27="",NA(),MATCH($B27&amp;$C27,'Smelter Look-up'!$J:$J,0))</f>
        <v>379</v>
      </c>
      <c r="W27" s="276"/>
      <c r="X27" s="276">
        <f t="shared" si="4"/>
        <v>0</v>
      </c>
      <c r="Y27" s="276"/>
      <c r="Z27" s="276"/>
      <c r="AB27" s="278" t="str">
        <f t="shared" si="5"/>
        <v>TinEmpressa Nacional de Fundiciones (ENAF)</v>
      </c>
    </row>
    <row r="28" spans="1:28" s="277" customFormat="1" ht="25.5">
      <c r="A28" s="216"/>
      <c r="B28" s="348" t="s">
        <v>1154</v>
      </c>
      <c r="C28" s="348" t="s">
        <v>2242</v>
      </c>
      <c r="D28" s="349" t="s">
        <v>2242</v>
      </c>
      <c r="E28" s="349" t="s">
        <v>15521</v>
      </c>
      <c r="F28" s="349" t="s">
        <v>798</v>
      </c>
      <c r="G28" s="349" t="s">
        <v>15516</v>
      </c>
      <c r="H28" s="350">
        <v>0</v>
      </c>
      <c r="I28" s="351" t="s">
        <v>1807</v>
      </c>
      <c r="J28" s="351" t="s">
        <v>15522</v>
      </c>
      <c r="K28" s="273"/>
      <c r="L28" s="273"/>
      <c r="M28" s="273"/>
      <c r="N28" s="273"/>
      <c r="O28" s="273"/>
      <c r="P28" s="220"/>
      <c r="Q28" s="274"/>
      <c r="R28" s="217" t="str">
        <f ca="1">IF(ISERROR($V28),"",OFFSET('Smelter Look-up'!$C$4,$V28-4,0)&amp;"")</f>
        <v>Operaciones Metalurgicas S.A.</v>
      </c>
      <c r="S28" s="225" t="str">
        <f t="shared" ca="1" si="3"/>
        <v>Unknown</v>
      </c>
      <c r="T28" s="225" t="str">
        <f ca="1">IF(B28="","",IF(ISERROR(MATCH($J28,SorP!$B$1:$B$6230,0)),"",INDIRECT("'SorP'!$A$"&amp;MATCH($J28,SorP!$B$1:$B$6230,0))))</f>
        <v/>
      </c>
      <c r="U28" s="241"/>
      <c r="V28" s="275">
        <f>IF(C28="",NA(),MATCH($B28&amp;$C28,'Smelter Look-up'!$J:$J,0))</f>
        <v>433</v>
      </c>
      <c r="W28" s="276"/>
      <c r="X28" s="276">
        <f t="shared" si="4"/>
        <v>0</v>
      </c>
      <c r="Y28" s="276"/>
      <c r="Z28" s="276"/>
      <c r="AB28" s="278" t="str">
        <f t="shared" si="5"/>
        <v>TinOMSA</v>
      </c>
    </row>
    <row r="29" spans="1:28" s="277" customFormat="1" ht="20.25">
      <c r="A29" s="216"/>
      <c r="B29" s="348"/>
      <c r="C29" s="348"/>
      <c r="D29" s="349"/>
      <c r="E29" s="349"/>
      <c r="F29" s="349"/>
      <c r="G29" s="349"/>
      <c r="H29" s="350">
        <v>0</v>
      </c>
      <c r="I29" s="351">
        <v>0</v>
      </c>
      <c r="J29" s="351">
        <v>0</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si="4"/>
        <v>0</v>
      </c>
      <c r="Y29" s="276"/>
      <c r="Z29" s="276"/>
      <c r="AB29" s="278" t="str">
        <f t="shared" si="5"/>
        <v/>
      </c>
    </row>
    <row r="30" spans="1:28" s="277" customFormat="1" ht="102">
      <c r="A30" s="216"/>
      <c r="B30" s="348" t="s">
        <v>1154</v>
      </c>
      <c r="C30" s="348" t="s">
        <v>15536</v>
      </c>
      <c r="D30" s="349" t="s">
        <v>15535</v>
      </c>
      <c r="E30" s="349" t="s">
        <v>1128</v>
      </c>
      <c r="F30" s="349" t="s">
        <v>802</v>
      </c>
      <c r="G30" s="349" t="s">
        <v>15516</v>
      </c>
      <c r="H30" s="350" t="s">
        <v>14249</v>
      </c>
      <c r="I30" s="351" t="s">
        <v>14249</v>
      </c>
      <c r="J30" s="351" t="s">
        <v>14249</v>
      </c>
      <c r="K30" s="273"/>
      <c r="L30" s="273"/>
      <c r="M30" s="273"/>
      <c r="N30" s="273"/>
      <c r="O30" s="273"/>
      <c r="P30" s="220"/>
      <c r="Q30" s="274"/>
      <c r="R30" s="217" t="str">
        <f ca="1">IF(ISERROR($V30),"",OFFSET('Smelter Look-up'!$C$4,$V30-4,0)&amp;"")</f>
        <v/>
      </c>
      <c r="S30" s="225" t="str">
        <f t="shared" ca="1" si="3"/>
        <v>ID</v>
      </c>
      <c r="T30" s="225" t="str">
        <f ca="1">IF(B30="","",IF(ISERROR(MATCH($J30,SorP!$B$1:$B$6230,0)),"",INDIRECT("'SorP'!$A$"&amp;MATCH($J30,SorP!$B$1:$B$6230,0))))</f>
        <v/>
      </c>
      <c r="U30" s="241"/>
      <c r="V30" s="275" t="e">
        <f>IF(C30="",NA(),MATCH($B30&amp;$C30,'Smelter Look-up'!$J:$J,0))</f>
        <v>#N/A</v>
      </c>
      <c r="W30" s="276"/>
      <c r="X30" s="276">
        <f t="shared" si="4"/>
        <v>0</v>
      </c>
      <c r="Y30" s="276"/>
      <c r="Z30" s="276"/>
      <c r="AB30" s="278" t="str">
        <f t="shared" si="5"/>
        <v>TinIndonesia State Tin Corporation, MentokSmelter</v>
      </c>
    </row>
    <row r="31" spans="1:28" s="277" customFormat="1" ht="76.5">
      <c r="A31" s="216"/>
      <c r="B31" s="348" t="s">
        <v>1154</v>
      </c>
      <c r="C31" s="348" t="s">
        <v>844</v>
      </c>
      <c r="D31" s="349" t="s">
        <v>844</v>
      </c>
      <c r="E31" s="349" t="s">
        <v>1138</v>
      </c>
      <c r="F31" s="349" t="s">
        <v>792</v>
      </c>
      <c r="G31" s="349" t="s">
        <v>15516</v>
      </c>
      <c r="H31" s="350">
        <v>0</v>
      </c>
      <c r="I31" s="351" t="s">
        <v>1819</v>
      </c>
      <c r="J31" s="351" t="s">
        <v>15519</v>
      </c>
      <c r="K31" s="273"/>
      <c r="L31" s="273"/>
      <c r="M31" s="273"/>
      <c r="N31" s="273"/>
      <c r="O31" s="273"/>
      <c r="P31" s="220"/>
      <c r="Q31" s="274"/>
      <c r="R31" s="217" t="str">
        <f ca="1">IF(ISERROR($V31),"",OFFSET('Smelter Look-up'!$C$4,$V31-4,0)&amp;"")</f>
        <v>Malaysia Smelting Corporation (MSC)</v>
      </c>
      <c r="S31" s="225" t="str">
        <f t="shared" ca="1" si="3"/>
        <v>MY</v>
      </c>
      <c r="T31" s="225" t="str">
        <f ca="1">IF(B31="","",IF(ISERROR(MATCH($J31,SorP!$B$1:$B$6230,0)),"",INDIRECT("'SorP'!$A$"&amp;MATCH($J31,SorP!$B$1:$B$6230,0))))</f>
        <v/>
      </c>
      <c r="U31" s="241"/>
      <c r="V31" s="275">
        <f>IF(C31="",NA(),MATCH($B31&amp;$C31,'Smelter Look-up'!$J:$J,0))</f>
        <v>414</v>
      </c>
      <c r="W31" s="276"/>
      <c r="X31" s="276">
        <f t="shared" si="4"/>
        <v>0</v>
      </c>
      <c r="Y31" s="276"/>
      <c r="Z31" s="276"/>
      <c r="AB31" s="278" t="str">
        <f t="shared" si="5"/>
        <v>TinMalaysia Smelting Corporation (MSC)</v>
      </c>
    </row>
    <row r="32" spans="1:28" s="277" customFormat="1" ht="76.5">
      <c r="A32" s="216"/>
      <c r="B32" s="348" t="s">
        <v>1154</v>
      </c>
      <c r="C32" s="348" t="s">
        <v>15533</v>
      </c>
      <c r="D32" s="349" t="s">
        <v>1054</v>
      </c>
      <c r="E32" s="349" t="s">
        <v>911</v>
      </c>
      <c r="F32" s="349" t="s">
        <v>806</v>
      </c>
      <c r="G32" s="349" t="s">
        <v>15516</v>
      </c>
      <c r="H32" s="350" t="s">
        <v>14249</v>
      </c>
      <c r="I32" s="351" t="s">
        <v>14249</v>
      </c>
      <c r="J32" s="351" t="s">
        <v>14249</v>
      </c>
      <c r="K32" s="273"/>
      <c r="L32" s="273"/>
      <c r="M32" s="273"/>
      <c r="N32" s="273"/>
      <c r="O32" s="273"/>
      <c r="P32" s="220"/>
      <c r="Q32" s="274"/>
      <c r="R32" s="217" t="str">
        <f ca="1">IF(ISERROR($V32),"",OFFSET('Smelter Look-up'!$C$4,$V32-4,0)&amp;"")</f>
        <v/>
      </c>
      <c r="S32" s="225" t="str">
        <f t="shared" ca="1" si="3"/>
        <v>TH</v>
      </c>
      <c r="T32" s="225" t="str">
        <f ca="1">IF(B32="","",IF(ISERROR(MATCH($J32,SorP!$B$1:$B$6230,0)),"",INDIRECT("'SorP'!$A$"&amp;MATCH($J32,SorP!$B$1:$B$6230,0))))</f>
        <v/>
      </c>
      <c r="U32" s="241"/>
      <c r="V32" s="275" t="e">
        <f>IF(C32="",NA(),MATCH($B32&amp;$C32,'Smelter Look-up'!$J:$J,0))</f>
        <v>#N/A</v>
      </c>
      <c r="W32" s="276"/>
      <c r="X32" s="276">
        <f t="shared" si="4"/>
        <v>0</v>
      </c>
      <c r="Y32" s="276"/>
      <c r="Z32" s="276"/>
      <c r="AB32" s="278" t="str">
        <f t="shared" si="5"/>
        <v>TinThailand Smelting &amp; Refining Co., Ltd</v>
      </c>
    </row>
    <row r="33" spans="1:28" s="277" customFormat="1" ht="51">
      <c r="A33" s="216"/>
      <c r="B33" s="348" t="s">
        <v>1154</v>
      </c>
      <c r="C33" s="348" t="s">
        <v>15537</v>
      </c>
      <c r="D33" s="349" t="s">
        <v>15537</v>
      </c>
      <c r="E33" s="349" t="s">
        <v>1128</v>
      </c>
      <c r="F33" s="349" t="s">
        <v>15538</v>
      </c>
      <c r="G33" s="349" t="s">
        <v>15516</v>
      </c>
      <c r="H33" s="350">
        <v>0</v>
      </c>
      <c r="I33" s="351" t="s">
        <v>15539</v>
      </c>
      <c r="J33" s="351" t="s">
        <v>15532</v>
      </c>
      <c r="K33" s="273"/>
      <c r="L33" s="273"/>
      <c r="M33" s="273"/>
      <c r="N33" s="273"/>
      <c r="O33" s="273"/>
      <c r="P33" s="220"/>
      <c r="Q33" s="274"/>
      <c r="R33" s="217" t="str">
        <f ca="1">IF(ISERROR($V33),"",OFFSET('Smelter Look-up'!$C$4,$V33-4,0)&amp;"")</f>
        <v/>
      </c>
      <c r="S33" s="225" t="str">
        <f t="shared" ca="1" si="3"/>
        <v>ID</v>
      </c>
      <c r="T33" s="225" t="str">
        <f ca="1">IF(B33="","",IF(ISERROR(MATCH($J33,SorP!$B$1:$B$6230,0)),"",INDIRECT("'SorP'!$A$"&amp;MATCH($J33,SorP!$B$1:$B$6230,0))))</f>
        <v/>
      </c>
      <c r="U33" s="241"/>
      <c r="V33" s="275" t="e">
        <f>IF(C33="",NA(),MATCH($B33&amp;$C33,'Smelter Look-up'!$J:$J,0))</f>
        <v>#N/A</v>
      </c>
      <c r="W33" s="276"/>
      <c r="X33" s="276">
        <f t="shared" si="4"/>
        <v>0</v>
      </c>
      <c r="Y33" s="276"/>
      <c r="Z33" s="276"/>
      <c r="AB33" s="278" t="str">
        <f t="shared" si="5"/>
        <v>TinPT Stanindo Inti Perkasa</v>
      </c>
    </row>
    <row r="34" spans="1:28" s="277" customFormat="1" ht="51">
      <c r="A34" s="216"/>
      <c r="B34" s="348" t="s">
        <v>1154</v>
      </c>
      <c r="C34" s="348" t="s">
        <v>15540</v>
      </c>
      <c r="D34" s="349" t="s">
        <v>1350</v>
      </c>
      <c r="E34" s="349" t="s">
        <v>1123</v>
      </c>
      <c r="F34" s="349" t="s">
        <v>791</v>
      </c>
      <c r="G34" s="349" t="s">
        <v>15516</v>
      </c>
      <c r="H34" s="350" t="s">
        <v>14249</v>
      </c>
      <c r="I34" s="351" t="s">
        <v>14249</v>
      </c>
      <c r="J34" s="351" t="s">
        <v>14249</v>
      </c>
      <c r="K34" s="273"/>
      <c r="L34" s="273"/>
      <c r="M34" s="273"/>
      <c r="N34" s="273"/>
      <c r="O34" s="273"/>
      <c r="P34" s="220"/>
      <c r="Q34" s="274"/>
      <c r="R34" s="217" t="str">
        <f ca="1">IF(ISERROR($V34),"",OFFSET('Smelter Look-up'!$C$4,$V34-4,0)&amp;"")</f>
        <v/>
      </c>
      <c r="S34" s="225" t="str">
        <f t="shared" ca="1" si="3"/>
        <v>CN</v>
      </c>
      <c r="T34" s="225" t="str">
        <f ca="1">IF(B34="","",IF(ISERROR(MATCH($J34,SorP!$B$1:$B$6230,0)),"",INDIRECT("'SorP'!$A$"&amp;MATCH($J34,SorP!$B$1:$B$6230,0))))</f>
        <v/>
      </c>
      <c r="U34" s="241"/>
      <c r="V34" s="275" t="e">
        <f>IF(C34="",NA(),MATCH($B34&amp;$C34,'Smelter Look-up'!$J:$J,0))</f>
        <v>#N/A</v>
      </c>
      <c r="W34" s="276"/>
      <c r="X34" s="276">
        <f t="shared" si="4"/>
        <v>0</v>
      </c>
      <c r="Y34" s="276"/>
      <c r="Z34" s="276"/>
      <c r="AB34" s="278" t="str">
        <f t="shared" si="5"/>
        <v>TinLiuzhou China Tin</v>
      </c>
    </row>
    <row r="35" spans="1:28" s="277" customFormat="1" ht="114.75">
      <c r="A35" s="216"/>
      <c r="B35" s="348" t="s">
        <v>1154</v>
      </c>
      <c r="C35" s="348" t="s">
        <v>15541</v>
      </c>
      <c r="D35" s="349" t="s">
        <v>53</v>
      </c>
      <c r="E35" s="349" t="s">
        <v>1123</v>
      </c>
      <c r="F35" s="349" t="s">
        <v>809</v>
      </c>
      <c r="G35" s="349" t="s">
        <v>15516</v>
      </c>
      <c r="H35" s="350" t="s">
        <v>14249</v>
      </c>
      <c r="I35" s="351" t="s">
        <v>14249</v>
      </c>
      <c r="J35" s="351" t="s">
        <v>14249</v>
      </c>
      <c r="K35" s="273"/>
      <c r="L35" s="273"/>
      <c r="M35" s="273"/>
      <c r="N35" s="273"/>
      <c r="O35" s="273"/>
      <c r="P35" s="220"/>
      <c r="Q35" s="274"/>
      <c r="R35" s="217" t="str">
        <f ca="1">IF(ISERROR($V35),"",OFFSET('Smelter Look-up'!$C$4,$V35-4,0)&amp;"")</f>
        <v/>
      </c>
      <c r="S35" s="225" t="str">
        <f t="shared" ca="1" si="3"/>
        <v>CN</v>
      </c>
      <c r="T35" s="225" t="str">
        <f ca="1">IF(B35="","",IF(ISERROR(MATCH($J35,SorP!$B$1:$B$6230,0)),"",INDIRECT("'SorP'!$A$"&amp;MATCH($J35,SorP!$B$1:$B$6230,0))))</f>
        <v/>
      </c>
      <c r="U35" s="241"/>
      <c r="V35" s="275" t="e">
        <f>IF(C35="",NA(),MATCH($B35&amp;$C35,'Smelter Look-up'!$J:$J,0))</f>
        <v>#N/A</v>
      </c>
      <c r="W35" s="276"/>
      <c r="X35" s="276">
        <f t="shared" si="4"/>
        <v>0</v>
      </c>
      <c r="Y35" s="276"/>
      <c r="Z35" s="276"/>
      <c r="AB35" s="278" t="str">
        <f t="shared" si="5"/>
        <v>TinSmelting Branch of Yunnan Tin Company Limited</v>
      </c>
    </row>
    <row r="36" spans="1:28" s="277" customFormat="1" ht="20.25" customHeight="1">
      <c r="A36" s="216"/>
      <c r="B36" s="348" t="s">
        <v>1154</v>
      </c>
      <c r="C36" s="352" t="s">
        <v>1426</v>
      </c>
      <c r="D36" s="352" t="s">
        <v>1426</v>
      </c>
      <c r="E36" s="349" t="s">
        <v>1128</v>
      </c>
      <c r="F36" s="352" t="s">
        <v>1427</v>
      </c>
      <c r="G36" s="349" t="s">
        <v>13577</v>
      </c>
      <c r="H36" s="350"/>
      <c r="I36" s="352" t="s">
        <v>1805</v>
      </c>
      <c r="J36" s="352" t="s">
        <v>13183</v>
      </c>
      <c r="K36" s="273"/>
      <c r="L36" s="273"/>
      <c r="M36" s="273"/>
      <c r="N36" s="273"/>
      <c r="O36" s="273"/>
      <c r="P36" s="220"/>
      <c r="Q36" s="274"/>
      <c r="R36" s="217" t="str">
        <f ca="1">IF(ISERROR($V36),"",OFFSET('Smelter Look-up'!$C$4,$V36-4,0)&amp;"")</f>
        <v>PT ATD Makmur Mandiri Jaya</v>
      </c>
      <c r="S36" s="225" t="str">
        <f t="shared" ca="1" si="3"/>
        <v>ID</v>
      </c>
      <c r="T36" s="225" t="str">
        <f ca="1">IF(B36="","",IF(ISERROR(MATCH($J36,SorP!$B$1:$B$6230,0)),"",INDIRECT("'SorP'!$A$"&amp;MATCH($J36,SorP!$B$1:$B$6230,0))))</f>
        <v>ID-BB</v>
      </c>
      <c r="U36" s="241"/>
      <c r="V36" s="275">
        <f>IF(C36="",NA(),MATCH($B36&amp;$C36,'Smelter Look-up'!$J:$J,0))</f>
        <v>439</v>
      </c>
      <c r="W36" s="276"/>
      <c r="X36" s="276">
        <f t="shared" si="4"/>
        <v>0</v>
      </c>
      <c r="Y36" s="276"/>
      <c r="Z36" s="276"/>
      <c r="AB36" s="278" t="str">
        <f t="shared" si="5"/>
        <v>TinPT ATD Makmur Mandiri Jaya</v>
      </c>
    </row>
    <row r="37" spans="1:28" s="277" customFormat="1" ht="38.25">
      <c r="A37" s="216"/>
      <c r="B37" s="348" t="s">
        <v>1154</v>
      </c>
      <c r="C37" s="348" t="s">
        <v>15542</v>
      </c>
      <c r="D37" s="349" t="s">
        <v>15543</v>
      </c>
      <c r="E37" s="349" t="s">
        <v>1128</v>
      </c>
      <c r="F37" s="349" t="s">
        <v>15544</v>
      </c>
      <c r="G37" s="349" t="s">
        <v>15516</v>
      </c>
      <c r="H37" s="350" t="s">
        <v>14249</v>
      </c>
      <c r="I37" s="351" t="s">
        <v>14249</v>
      </c>
      <c r="J37" s="351" t="s">
        <v>14249</v>
      </c>
      <c r="K37" s="273"/>
      <c r="L37" s="273"/>
      <c r="M37" s="273"/>
      <c r="N37" s="273"/>
      <c r="O37" s="273"/>
      <c r="P37" s="220"/>
      <c r="Q37" s="274"/>
      <c r="R37" s="217" t="str">
        <f ca="1">IF(ISERROR($V37),"",OFFSET('Smelter Look-up'!$C$4,$V37-4,0)&amp;"")</f>
        <v/>
      </c>
      <c r="S37" s="225" t="str">
        <f t="shared" ca="1" si="3"/>
        <v>ID</v>
      </c>
      <c r="T37" s="225" t="str">
        <f ca="1">IF(B37="","",IF(ISERROR(MATCH($J37,SorP!$B$1:$B$6230,0)),"",INDIRECT("'SorP'!$A$"&amp;MATCH($J37,SorP!$B$1:$B$6230,0))))</f>
        <v/>
      </c>
      <c r="U37" s="241"/>
      <c r="V37" s="275" t="e">
        <f>IF(C37="",NA(),MATCH($B37&amp;$C37,'Smelter Look-up'!$J:$J,0))</f>
        <v>#N/A</v>
      </c>
      <c r="W37" s="276"/>
      <c r="X37" s="276">
        <f t="shared" si="4"/>
        <v>0</v>
      </c>
      <c r="Y37" s="276"/>
      <c r="Z37" s="276"/>
      <c r="AB37" s="278" t="str">
        <f t="shared" si="5"/>
        <v>TinCV DS Jaya Abadi</v>
      </c>
    </row>
    <row r="38" spans="1:28" s="277" customFormat="1" ht="38.25">
      <c r="A38" s="216"/>
      <c r="B38" s="348" t="s">
        <v>1154</v>
      </c>
      <c r="C38" s="348" t="s">
        <v>15545</v>
      </c>
      <c r="D38" s="349" t="s">
        <v>15545</v>
      </c>
      <c r="E38" s="349" t="s">
        <v>1128</v>
      </c>
      <c r="F38" s="349" t="s">
        <v>15546</v>
      </c>
      <c r="G38" s="349" t="s">
        <v>15516</v>
      </c>
      <c r="H38" s="350">
        <v>0</v>
      </c>
      <c r="I38" s="351" t="s">
        <v>15539</v>
      </c>
      <c r="J38" s="351" t="s">
        <v>15532</v>
      </c>
      <c r="K38" s="273"/>
      <c r="L38" s="273"/>
      <c r="M38" s="273"/>
      <c r="N38" s="273"/>
      <c r="O38" s="273"/>
      <c r="P38" s="220"/>
      <c r="Q38" s="274"/>
      <c r="R38" s="217" t="str">
        <f ca="1">IF(ISERROR($V38),"",OFFSET('Smelter Look-up'!$C$4,$V38-4,0)&amp;"")</f>
        <v/>
      </c>
      <c r="S38" s="225" t="str">
        <f t="shared" ref="S38:S68" ca="1" si="6">IF(B38="","",IF(ISERROR(MATCH($E38,CL,0)),"Unknown",INDIRECT("'C'!$A$"&amp;MATCH($E38,CL,0)+1)))</f>
        <v>ID</v>
      </c>
      <c r="T38" s="225" t="str">
        <f ca="1">IF(B38="","",IF(ISERROR(MATCH($J38,SorP!$B$1:$B$6230,0)),"",INDIRECT("'SorP'!$A$"&amp;MATCH($J38,SorP!$B$1:$B$6230,0))))</f>
        <v/>
      </c>
      <c r="U38" s="241"/>
      <c r="V38" s="275" t="e">
        <f>IF(C38="",NA(),MATCH($B38&amp;$C38,'Smelter Look-up'!$J:$J,0))</f>
        <v>#N/A</v>
      </c>
      <c r="W38" s="276"/>
      <c r="X38" s="276">
        <f t="shared" ref="X38:X68" si="7">IF(AND(C38="Smelter not listed",OR(LEN(D38)=0,LEN(E38)=0)),1,0)</f>
        <v>0</v>
      </c>
      <c r="Y38" s="276"/>
      <c r="Z38" s="276"/>
      <c r="AB38" s="278" t="str">
        <f t="shared" ref="AB38:AB68" si="8">B38&amp;C38</f>
        <v>TinCV United Smelting</v>
      </c>
    </row>
    <row r="39" spans="1:28" s="277" customFormat="1" ht="89.25">
      <c r="A39" s="216"/>
      <c r="B39" s="348" t="s">
        <v>1154</v>
      </c>
      <c r="C39" s="348" t="s">
        <v>15547</v>
      </c>
      <c r="D39" s="349" t="s">
        <v>15547</v>
      </c>
      <c r="E39" s="349" t="s">
        <v>1123</v>
      </c>
      <c r="F39" s="349" t="s">
        <v>787</v>
      </c>
      <c r="G39" s="349" t="s">
        <v>15516</v>
      </c>
      <c r="H39" s="350" t="s">
        <v>14249</v>
      </c>
      <c r="I39" s="351" t="s">
        <v>14249</v>
      </c>
      <c r="J39" s="351" t="s">
        <v>14249</v>
      </c>
      <c r="K39" s="273"/>
      <c r="L39" s="273"/>
      <c r="M39" s="273"/>
      <c r="N39" s="273"/>
      <c r="O39" s="273"/>
      <c r="P39" s="220"/>
      <c r="Q39" s="274"/>
      <c r="R39" s="217" t="str">
        <f ca="1">IF(ISERROR($V39),"",OFFSET('Smelter Look-up'!$C$4,$V39-4,0)&amp;"")</f>
        <v/>
      </c>
      <c r="S39" s="225" t="str">
        <f t="shared" ca="1" si="6"/>
        <v>CN</v>
      </c>
      <c r="T39" s="225" t="str">
        <f ca="1">IF(B39="","",IF(ISERROR(MATCH($J39,SorP!$B$1:$B$6230,0)),"",INDIRECT("'SorP'!$A$"&amp;MATCH($J39,SorP!$B$1:$B$6230,0))))</f>
        <v/>
      </c>
      <c r="U39" s="241"/>
      <c r="V39" s="275" t="e">
        <f>IF(C39="",NA(),MATCH($B39&amp;$C39,'Smelter Look-up'!$J:$J,0))</f>
        <v>#N/A</v>
      </c>
      <c r="W39" s="276"/>
      <c r="X39" s="276">
        <f t="shared" si="7"/>
        <v>0</v>
      </c>
      <c r="Y39" s="276"/>
      <c r="Z39" s="276"/>
      <c r="AB39" s="278" t="str">
        <f t="shared" si="8"/>
        <v>TinGejiu Non-Ferrous Metal Processing Co. Ltd.</v>
      </c>
    </row>
    <row r="40" spans="1:28" s="277" customFormat="1" ht="20.25">
      <c r="A40" s="216"/>
      <c r="B40" s="348"/>
      <c r="C40" s="348"/>
      <c r="D40" s="349"/>
      <c r="E40" s="349"/>
      <c r="F40" s="349"/>
      <c r="G40" s="349"/>
      <c r="H40" s="350"/>
      <c r="I40" s="351"/>
      <c r="J40" s="351">
        <v>0</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si="7"/>
        <v>0</v>
      </c>
      <c r="Y40" s="276"/>
      <c r="Z40" s="276"/>
      <c r="AB40" s="278" t="str">
        <f t="shared" si="8"/>
        <v/>
      </c>
    </row>
    <row r="41" spans="1:28" s="277" customFormat="1" ht="76.5">
      <c r="A41" s="216"/>
      <c r="B41" s="348" t="s">
        <v>1154</v>
      </c>
      <c r="C41" s="348" t="s">
        <v>1187</v>
      </c>
      <c r="D41" s="349" t="s">
        <v>1187</v>
      </c>
      <c r="E41" s="349" t="s">
        <v>1131</v>
      </c>
      <c r="F41" s="349" t="s">
        <v>795</v>
      </c>
      <c r="G41" s="349" t="s">
        <v>15516</v>
      </c>
      <c r="H41" s="350">
        <v>0</v>
      </c>
      <c r="I41" s="351" t="s">
        <v>1827</v>
      </c>
      <c r="J41" s="351" t="s">
        <v>1581</v>
      </c>
      <c r="K41" s="273"/>
      <c r="L41" s="273"/>
      <c r="M41" s="273"/>
      <c r="N41" s="273"/>
      <c r="O41" s="273"/>
      <c r="P41" s="220"/>
      <c r="Q41" s="274"/>
      <c r="R41" s="217" t="str">
        <f ca="1">IF(ISERROR($V41),"",OFFSET('Smelter Look-up'!$C$4,$V41-4,0)&amp;"")</f>
        <v>Mitsubishi Materials Corporation</v>
      </c>
      <c r="S41" s="225" t="str">
        <f t="shared" ca="1" si="6"/>
        <v>JP</v>
      </c>
      <c r="T41" s="225" t="str">
        <f ca="1">IF(B41="","",IF(ISERROR(MATCH($J41,SorP!$B$1:$B$6230,0)),"",INDIRECT("'SorP'!$A$"&amp;MATCH($J41,SorP!$B$1:$B$6230,0))))</f>
        <v>JP-28</v>
      </c>
      <c r="U41" s="241"/>
      <c r="V41" s="275">
        <f>IF(C41="",NA(),MATCH($B41&amp;$C41,'Smelter Look-up'!$J:$J,0))</f>
        <v>425</v>
      </c>
      <c r="W41" s="276"/>
      <c r="X41" s="276">
        <f t="shared" si="7"/>
        <v>0</v>
      </c>
      <c r="Y41" s="276"/>
      <c r="Z41" s="276"/>
      <c r="AB41" s="278" t="str">
        <f t="shared" si="8"/>
        <v>TinMitsubishi Materials Corporation</v>
      </c>
    </row>
    <row r="42" spans="1:28" s="277" customFormat="1" ht="63.75">
      <c r="A42" s="216"/>
      <c r="B42" s="348" t="s">
        <v>1154</v>
      </c>
      <c r="C42" s="348" t="s">
        <v>15548</v>
      </c>
      <c r="D42" s="349" t="s">
        <v>15548</v>
      </c>
      <c r="E42" s="349" t="s">
        <v>906</v>
      </c>
      <c r="F42" s="349" t="s">
        <v>15549</v>
      </c>
      <c r="G42" s="349" t="s">
        <v>15516</v>
      </c>
      <c r="H42" s="350" t="s">
        <v>14249</v>
      </c>
      <c r="I42" s="351" t="s">
        <v>14249</v>
      </c>
      <c r="J42" s="351" t="s">
        <v>14249</v>
      </c>
      <c r="K42" s="273"/>
      <c r="L42" s="273"/>
      <c r="M42" s="273"/>
      <c r="N42" s="273"/>
      <c r="O42" s="273"/>
      <c r="P42" s="220"/>
      <c r="Q42" s="274"/>
      <c r="R42" s="217" t="str">
        <f ca="1">IF(ISERROR($V42),"",OFFSET('Smelter Look-up'!$C$4,$V42-4,0)&amp;"")</f>
        <v/>
      </c>
      <c r="S42" s="225" t="str">
        <f t="shared" ca="1" si="6"/>
        <v>RU</v>
      </c>
      <c r="T42" s="225" t="str">
        <f ca="1">IF(B42="","",IF(ISERROR(MATCH($J42,SorP!$B$1:$B$6230,0)),"",INDIRECT("'SorP'!$A$"&amp;MATCH($J42,SorP!$B$1:$B$6230,0))))</f>
        <v/>
      </c>
      <c r="U42" s="241"/>
      <c r="V42" s="275" t="e">
        <f>IF(C42="",NA(),MATCH($B42&amp;$C42,'Smelter Look-up'!$J:$J,0))</f>
        <v>#N/A</v>
      </c>
      <c r="W42" s="276"/>
      <c r="X42" s="276">
        <f t="shared" si="7"/>
        <v>0</v>
      </c>
      <c r="Y42" s="276"/>
      <c r="Z42" s="276"/>
      <c r="AB42" s="278" t="str">
        <f t="shared" si="8"/>
        <v>TinNovosibirsk Integrated Tin Works</v>
      </c>
    </row>
    <row r="43" spans="1:28" s="277" customFormat="1" ht="20.25">
      <c r="A43" s="216"/>
      <c r="B43" s="348"/>
      <c r="C43" s="348"/>
      <c r="D43" s="349"/>
      <c r="E43" s="349"/>
      <c r="F43" s="349"/>
      <c r="G43" s="349"/>
      <c r="H43" s="350"/>
      <c r="I43" s="351"/>
      <c r="J43" s="351"/>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si="7"/>
        <v>0</v>
      </c>
      <c r="Y43" s="276"/>
      <c r="Z43" s="276"/>
      <c r="AB43" s="278" t="str">
        <f t="shared" si="8"/>
        <v/>
      </c>
    </row>
    <row r="44" spans="1:28" s="277" customFormat="1" ht="51">
      <c r="A44" s="216"/>
      <c r="B44" s="348" t="s">
        <v>1154</v>
      </c>
      <c r="C44" s="348" t="s">
        <v>15550</v>
      </c>
      <c r="D44" s="349" t="s">
        <v>15550</v>
      </c>
      <c r="E44" s="349" t="s">
        <v>1128</v>
      </c>
      <c r="F44" s="349" t="s">
        <v>15551</v>
      </c>
      <c r="G44" s="349" t="s">
        <v>15516</v>
      </c>
      <c r="H44" s="350">
        <v>0</v>
      </c>
      <c r="I44" s="351" t="s">
        <v>15552</v>
      </c>
      <c r="J44" s="351" t="s">
        <v>1830</v>
      </c>
      <c r="K44" s="273"/>
      <c r="L44" s="273"/>
      <c r="M44" s="273"/>
      <c r="N44" s="273"/>
      <c r="O44" s="273"/>
      <c r="P44" s="220"/>
      <c r="Q44" s="274"/>
      <c r="R44" s="217" t="str">
        <f ca="1">IF(ISERROR($V44),"",OFFSET('Smelter Look-up'!$C$4,$V44-4,0)&amp;"")</f>
        <v/>
      </c>
      <c r="S44" s="225" t="str">
        <f t="shared" ca="1" si="6"/>
        <v>ID</v>
      </c>
      <c r="T44" s="225" t="str">
        <f ca="1">IF(B44="","",IF(ISERROR(MATCH($J44,SorP!$B$1:$B$6230,0)),"",INDIRECT("'SorP'!$A$"&amp;MATCH($J44,SorP!$B$1:$B$6230,0))))</f>
        <v>ID-KR</v>
      </c>
      <c r="U44" s="241"/>
      <c r="V44" s="275" t="e">
        <f>IF(C44="",NA(),MATCH($B44&amp;$C44,'Smelter Look-up'!$J:$J,0))</f>
        <v>#N/A</v>
      </c>
      <c r="W44" s="276"/>
      <c r="X44" s="276">
        <f t="shared" si="7"/>
        <v>0</v>
      </c>
      <c r="Y44" s="276"/>
      <c r="Z44" s="276"/>
      <c r="AB44" s="278" t="str">
        <f t="shared" si="8"/>
        <v>TinPT Eunindo Usaha Mandiri</v>
      </c>
    </row>
    <row r="45" spans="1:28" s="277" customFormat="1" ht="20.25">
      <c r="A45" s="216"/>
      <c r="B45" s="348"/>
      <c r="C45" s="348"/>
      <c r="D45" s="349"/>
      <c r="E45" s="349"/>
      <c r="F45" s="349"/>
      <c r="G45" s="349"/>
      <c r="H45" s="350"/>
      <c r="I45" s="351"/>
      <c r="J45" s="351"/>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si="7"/>
        <v>0</v>
      </c>
      <c r="Y45" s="276"/>
      <c r="Z45" s="276"/>
      <c r="AB45" s="278" t="str">
        <f t="shared" si="8"/>
        <v/>
      </c>
    </row>
    <row r="46" spans="1:28" s="277" customFormat="1" ht="51">
      <c r="A46" s="216"/>
      <c r="B46" s="348" t="s">
        <v>1154</v>
      </c>
      <c r="C46" s="348" t="s">
        <v>15553</v>
      </c>
      <c r="D46" s="349" t="s">
        <v>15553</v>
      </c>
      <c r="E46" s="349" t="s">
        <v>1128</v>
      </c>
      <c r="F46" s="349" t="s">
        <v>15554</v>
      </c>
      <c r="G46" s="349" t="s">
        <v>15516</v>
      </c>
      <c r="H46" s="350">
        <v>0</v>
      </c>
      <c r="I46" s="351" t="s">
        <v>15539</v>
      </c>
      <c r="J46" s="351" t="s">
        <v>15532</v>
      </c>
      <c r="K46" s="273"/>
      <c r="L46" s="273"/>
      <c r="M46" s="273"/>
      <c r="N46" s="273"/>
      <c r="O46" s="273"/>
      <c r="P46" s="220"/>
      <c r="Q46" s="274"/>
      <c r="R46" s="217" t="str">
        <f ca="1">IF(ISERROR($V46),"",OFFSET('Smelter Look-up'!$C$4,$V46-4,0)&amp;"")</f>
        <v/>
      </c>
      <c r="S46" s="225" t="str">
        <f t="shared" ca="1" si="6"/>
        <v>ID</v>
      </c>
      <c r="T46" s="225" t="str">
        <f ca="1">IF(B46="","",IF(ISERROR(MATCH($J46,SorP!$B$1:$B$6230,0)),"",INDIRECT("'SorP'!$A$"&amp;MATCH($J46,SorP!$B$1:$B$6230,0))))</f>
        <v/>
      </c>
      <c r="U46" s="241"/>
      <c r="V46" s="275" t="e">
        <f>IF(C46="",NA(),MATCH($B46&amp;$C46,'Smelter Look-up'!$J:$J,0))</f>
        <v>#N/A</v>
      </c>
      <c r="W46" s="276"/>
      <c r="X46" s="276">
        <f t="shared" si="7"/>
        <v>0</v>
      </c>
      <c r="Y46" s="276"/>
      <c r="Z46" s="276"/>
      <c r="AB46" s="278" t="str">
        <f t="shared" si="8"/>
        <v>TinPT Tinindo Inter Nusa</v>
      </c>
    </row>
    <row r="47" spans="1:28" s="277" customFormat="1" ht="63.75">
      <c r="A47" s="216"/>
      <c r="B47" s="348" t="s">
        <v>1154</v>
      </c>
      <c r="C47" s="348" t="s">
        <v>15555</v>
      </c>
      <c r="D47" s="349" t="s">
        <v>15555</v>
      </c>
      <c r="E47" s="349" t="s">
        <v>1123</v>
      </c>
      <c r="F47" s="349" t="s">
        <v>15556</v>
      </c>
      <c r="G47" s="349" t="s">
        <v>15516</v>
      </c>
      <c r="H47" s="350" t="s">
        <v>14249</v>
      </c>
      <c r="I47" s="351" t="s">
        <v>14249</v>
      </c>
      <c r="J47" s="351" t="s">
        <v>14249</v>
      </c>
      <c r="K47" s="273"/>
      <c r="L47" s="273"/>
      <c r="M47" s="273"/>
      <c r="N47" s="273"/>
      <c r="O47" s="273"/>
      <c r="P47" s="220"/>
      <c r="Q47" s="274"/>
      <c r="R47" s="217" t="str">
        <f ca="1">IF(ISERROR($V47),"",OFFSET('Smelter Look-up'!$C$4,$V47-4,0)&amp;"")</f>
        <v/>
      </c>
      <c r="S47" s="225" t="str">
        <f t="shared" ca="1" si="6"/>
        <v>CN</v>
      </c>
      <c r="T47" s="225" t="str">
        <f ca="1">IF(B47="","",IF(ISERROR(MATCH($J47,SorP!$B$1:$B$6230,0)),"",INDIRECT("'SorP'!$A$"&amp;MATCH($J47,SorP!$B$1:$B$6230,0))))</f>
        <v/>
      </c>
      <c r="U47" s="241"/>
      <c r="V47" s="275" t="e">
        <f>IF(C47="",NA(),MATCH($B47&amp;$C47,'Smelter Look-up'!$J:$J,0))</f>
        <v>#N/A</v>
      </c>
      <c r="W47" s="276"/>
      <c r="X47" s="276">
        <f t="shared" si="7"/>
        <v>0</v>
      </c>
      <c r="Y47" s="276"/>
      <c r="Z47" s="276"/>
      <c r="AB47" s="278" t="str">
        <f t="shared" si="8"/>
        <v>TinMinmetals Ganzhou Tin Co. Ltd.</v>
      </c>
    </row>
    <row r="48" spans="1:28" s="277" customFormat="1" ht="89.25">
      <c r="A48" s="216"/>
      <c r="B48" s="348" t="s">
        <v>1154</v>
      </c>
      <c r="C48" s="348" t="s">
        <v>1045</v>
      </c>
      <c r="D48" s="349" t="s">
        <v>865</v>
      </c>
      <c r="E48" s="349" t="s">
        <v>15521</v>
      </c>
      <c r="F48" s="349" t="s">
        <v>784</v>
      </c>
      <c r="G48" s="349" t="s">
        <v>15516</v>
      </c>
      <c r="H48" s="350">
        <v>0</v>
      </c>
      <c r="I48" s="351" t="s">
        <v>1807</v>
      </c>
      <c r="J48" s="351" t="s">
        <v>15522</v>
      </c>
      <c r="K48" s="273"/>
      <c r="L48" s="273"/>
      <c r="M48" s="273"/>
      <c r="N48" s="273"/>
      <c r="O48" s="273"/>
      <c r="P48" s="220"/>
      <c r="Q48" s="274"/>
      <c r="R48" s="217" t="str">
        <f ca="1">IF(ISERROR($V48),"",OFFSET('Smelter Look-up'!$C$4,$V48-4,0)&amp;"")</f>
        <v>EM Vinto</v>
      </c>
      <c r="S48" s="225" t="str">
        <f t="shared" ca="1" si="6"/>
        <v>Unknown</v>
      </c>
      <c r="T48" s="225" t="str">
        <f ca="1">IF(B48="","",IF(ISERROR(MATCH($J48,SorP!$B$1:$B$6230,0)),"",INDIRECT("'SorP'!$A$"&amp;MATCH($J48,SorP!$B$1:$B$6230,0))))</f>
        <v/>
      </c>
      <c r="U48" s="241"/>
      <c r="V48" s="275">
        <f>IF(C48="",NA(),MATCH($B48&amp;$C48,'Smelter Look-up'!$J:$J,0))</f>
        <v>379</v>
      </c>
      <c r="W48" s="276"/>
      <c r="X48" s="276">
        <f t="shared" si="7"/>
        <v>0</v>
      </c>
      <c r="Y48" s="276"/>
      <c r="Z48" s="276"/>
      <c r="AB48" s="278" t="str">
        <f t="shared" si="8"/>
        <v>TinEmpressa Nacional de Fundiciones (ENAF)</v>
      </c>
    </row>
    <row r="49" spans="1:28" s="277" customFormat="1" ht="63.75">
      <c r="A49" s="216"/>
      <c r="B49" s="348" t="s">
        <v>1154</v>
      </c>
      <c r="C49" s="348" t="s">
        <v>15534</v>
      </c>
      <c r="D49" s="349" t="s">
        <v>15535</v>
      </c>
      <c r="E49" s="349" t="s">
        <v>1128</v>
      </c>
      <c r="F49" s="349" t="s">
        <v>802</v>
      </c>
      <c r="G49" s="349" t="s">
        <v>15516</v>
      </c>
      <c r="H49" s="350" t="s">
        <v>14249</v>
      </c>
      <c r="I49" s="351" t="s">
        <v>14249</v>
      </c>
      <c r="J49" s="351" t="s">
        <v>14249</v>
      </c>
      <c r="K49" s="273"/>
      <c r="L49" s="273"/>
      <c r="M49" s="273"/>
      <c r="N49" s="273"/>
      <c r="O49" s="273"/>
      <c r="P49" s="220"/>
      <c r="Q49" s="274"/>
      <c r="R49" s="217" t="str">
        <f ca="1">IF(ISERROR($V49),"",OFFSET('Smelter Look-up'!$C$4,$V49-4,0)&amp;"")</f>
        <v/>
      </c>
      <c r="S49" s="225" t="str">
        <f t="shared" ca="1" si="6"/>
        <v>ID</v>
      </c>
      <c r="T49" s="225" t="str">
        <f ca="1">IF(B49="","",IF(ISERROR(MATCH($J49,SorP!$B$1:$B$6230,0)),"",INDIRECT("'SorP'!$A$"&amp;MATCH($J49,SorP!$B$1:$B$6230,0))))</f>
        <v/>
      </c>
      <c r="U49" s="241"/>
      <c r="V49" s="275" t="e">
        <f>IF(C49="",NA(),MATCH($B49&amp;$C49,'Smelter Look-up'!$J:$J,0))</f>
        <v>#N/A</v>
      </c>
      <c r="W49" s="276"/>
      <c r="X49" s="276">
        <f t="shared" si="7"/>
        <v>0</v>
      </c>
      <c r="Y49" s="276"/>
      <c r="Z49" s="276"/>
      <c r="AB49" s="278" t="str">
        <f t="shared" si="8"/>
        <v>TinMentok Smelter (PT Timah)</v>
      </c>
    </row>
    <row r="50" spans="1:28" s="277" customFormat="1" ht="102">
      <c r="A50" s="216"/>
      <c r="B50" s="348" t="s">
        <v>1154</v>
      </c>
      <c r="C50" s="348" t="s">
        <v>15536</v>
      </c>
      <c r="D50" s="349" t="s">
        <v>15535</v>
      </c>
      <c r="E50" s="349" t="s">
        <v>1128</v>
      </c>
      <c r="F50" s="349" t="s">
        <v>802</v>
      </c>
      <c r="G50" s="349" t="s">
        <v>15516</v>
      </c>
      <c r="H50" s="350" t="s">
        <v>14249</v>
      </c>
      <c r="I50" s="351" t="s">
        <v>14249</v>
      </c>
      <c r="J50" s="351" t="s">
        <v>14249</v>
      </c>
      <c r="K50" s="273"/>
      <c r="L50" s="273"/>
      <c r="M50" s="273"/>
      <c r="N50" s="273"/>
      <c r="O50" s="273"/>
      <c r="P50" s="220"/>
      <c r="Q50" s="274"/>
      <c r="R50" s="217" t="str">
        <f ca="1">IF(ISERROR($V50),"",OFFSET('Smelter Look-up'!$C$4,$V50-4,0)&amp;"")</f>
        <v/>
      </c>
      <c r="S50" s="225" t="str">
        <f t="shared" ca="1" si="6"/>
        <v>ID</v>
      </c>
      <c r="T50" s="225" t="str">
        <f ca="1">IF(B50="","",IF(ISERROR(MATCH($J50,SorP!$B$1:$B$6230,0)),"",INDIRECT("'SorP'!$A$"&amp;MATCH($J50,SorP!$B$1:$B$6230,0))))</f>
        <v/>
      </c>
      <c r="U50" s="241"/>
      <c r="V50" s="275" t="e">
        <f>IF(C50="",NA(),MATCH($B50&amp;$C50,'Smelter Look-up'!$J:$J,0))</f>
        <v>#N/A</v>
      </c>
      <c r="W50" s="276"/>
      <c r="X50" s="276">
        <f t="shared" si="7"/>
        <v>0</v>
      </c>
      <c r="Y50" s="276"/>
      <c r="Z50" s="276"/>
      <c r="AB50" s="278" t="str">
        <f t="shared" si="8"/>
        <v>TinIndonesia State Tin Corporation, MentokSmelter</v>
      </c>
    </row>
    <row r="51" spans="1:28" s="277" customFormat="1" ht="38.25">
      <c r="A51" s="216"/>
      <c r="B51" s="348" t="s">
        <v>1154</v>
      </c>
      <c r="C51" s="348" t="s">
        <v>1055</v>
      </c>
      <c r="D51" s="349" t="s">
        <v>1055</v>
      </c>
      <c r="E51" s="349" t="s">
        <v>1128</v>
      </c>
      <c r="F51" s="349" t="s">
        <v>824</v>
      </c>
      <c r="G51" s="349" t="s">
        <v>15516</v>
      </c>
      <c r="H51" s="350">
        <v>0</v>
      </c>
      <c r="I51" s="351" t="s">
        <v>1832</v>
      </c>
      <c r="J51" s="351" t="s">
        <v>15557</v>
      </c>
      <c r="K51" s="273"/>
      <c r="L51" s="273"/>
      <c r="M51" s="273"/>
      <c r="N51" s="273"/>
      <c r="O51" s="273"/>
      <c r="P51" s="220"/>
      <c r="Q51" s="274"/>
      <c r="R51" s="217" t="str">
        <f ca="1">IF(ISERROR($V51),"",OFFSET('Smelter Look-up'!$C$4,$V51-4,0)&amp;"")</f>
        <v>PT Timah Tbk Kundur</v>
      </c>
      <c r="S51" s="225" t="str">
        <f t="shared" ca="1" si="6"/>
        <v>ID</v>
      </c>
      <c r="T51" s="225" t="str">
        <f ca="1">IF(B51="","",IF(ISERROR(MATCH($J51,SorP!$B$1:$B$6230,0)),"",INDIRECT("'SorP'!$A$"&amp;MATCH($J51,SorP!$B$1:$B$6230,0))))</f>
        <v/>
      </c>
      <c r="U51" s="241"/>
      <c r="V51" s="275">
        <f>IF(C51="",NA(),MATCH($B51&amp;$C51,'Smelter Look-up'!$J:$J,0))</f>
        <v>444</v>
      </c>
      <c r="W51" s="276"/>
      <c r="X51" s="276">
        <f t="shared" si="7"/>
        <v>0</v>
      </c>
      <c r="Y51" s="276"/>
      <c r="Z51" s="276"/>
      <c r="AB51" s="278" t="str">
        <f t="shared" si="8"/>
        <v>TinPT Tambang Timah</v>
      </c>
    </row>
    <row r="52" spans="1:28" s="277" customFormat="1" ht="20.25">
      <c r="A52" s="216"/>
      <c r="B52" s="348"/>
      <c r="C52" s="348"/>
      <c r="D52" s="349"/>
      <c r="E52" s="349"/>
      <c r="F52" s="349"/>
      <c r="G52" s="349"/>
      <c r="H52" s="350" t="s">
        <v>14249</v>
      </c>
      <c r="I52" s="351" t="s">
        <v>14249</v>
      </c>
      <c r="J52" s="351" t="s">
        <v>14249</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si="7"/>
        <v>0</v>
      </c>
      <c r="Y52" s="276"/>
      <c r="Z52" s="276"/>
      <c r="AB52" s="278" t="str">
        <f t="shared" si="8"/>
        <v/>
      </c>
    </row>
    <row r="53" spans="1:28" s="277" customFormat="1" ht="20.25">
      <c r="A53" s="216"/>
      <c r="B53" s="348"/>
      <c r="C53" s="348"/>
      <c r="D53" s="349"/>
      <c r="E53" s="349"/>
      <c r="F53" s="349"/>
      <c r="G53" s="349"/>
      <c r="H53" s="350" t="s">
        <v>14249</v>
      </c>
      <c r="I53" s="351" t="s">
        <v>14249</v>
      </c>
      <c r="J53" s="351" t="s">
        <v>14249</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si="7"/>
        <v>0</v>
      </c>
      <c r="Y53" s="276"/>
      <c r="Z53" s="276"/>
      <c r="AB53" s="278" t="str">
        <f t="shared" si="8"/>
        <v/>
      </c>
    </row>
    <row r="54" spans="1:28" s="277" customFormat="1" ht="51">
      <c r="A54" s="216"/>
      <c r="B54" s="348" t="s">
        <v>1154</v>
      </c>
      <c r="C54" s="348" t="s">
        <v>15558</v>
      </c>
      <c r="D54" s="349" t="s">
        <v>15558</v>
      </c>
      <c r="E54" s="349" t="s">
        <v>1128</v>
      </c>
      <c r="F54" s="349" t="s">
        <v>15559</v>
      </c>
      <c r="G54" s="349" t="s">
        <v>15516</v>
      </c>
      <c r="H54" s="350">
        <v>0</v>
      </c>
      <c r="I54" s="351" t="s">
        <v>1805</v>
      </c>
      <c r="J54" s="351" t="s">
        <v>15532</v>
      </c>
      <c r="K54" s="273"/>
      <c r="L54" s="273"/>
      <c r="M54" s="273"/>
      <c r="N54" s="273"/>
      <c r="O54" s="273"/>
      <c r="P54" s="220"/>
      <c r="Q54" s="274"/>
      <c r="R54" s="217" t="str">
        <f ca="1">IF(ISERROR($V54),"",OFFSET('Smelter Look-up'!$C$4,$V54-4,0)&amp;"")</f>
        <v/>
      </c>
      <c r="S54" s="225" t="str">
        <f t="shared" ca="1" si="6"/>
        <v>ID</v>
      </c>
      <c r="T54" s="225" t="str">
        <f ca="1">IF(B54="","",IF(ISERROR(MATCH($J54,SorP!$B$1:$B$6230,0)),"",INDIRECT("'SorP'!$A$"&amp;MATCH($J54,SorP!$B$1:$B$6230,0))))</f>
        <v/>
      </c>
      <c r="U54" s="241"/>
      <c r="V54" s="275" t="e">
        <f>IF(C54="",NA(),MATCH($B54&amp;$C54,'Smelter Look-up'!$J:$J,0))</f>
        <v>#N/A</v>
      </c>
      <c r="W54" s="276"/>
      <c r="X54" s="276">
        <f t="shared" si="7"/>
        <v>0</v>
      </c>
      <c r="Y54" s="276"/>
      <c r="Z54" s="276"/>
      <c r="AB54" s="278" t="str">
        <f t="shared" si="8"/>
        <v>TinPT Bangka Tin Industry</v>
      </c>
    </row>
    <row r="55" spans="1:28" s="277" customFormat="1" ht="89.25">
      <c r="A55" s="216"/>
      <c r="B55" s="348" t="s">
        <v>1153</v>
      </c>
      <c r="C55" s="348" t="s">
        <v>15560</v>
      </c>
      <c r="D55" s="349" t="s">
        <v>15560</v>
      </c>
      <c r="E55" s="349" t="s">
        <v>1123</v>
      </c>
      <c r="F55" s="349" t="s">
        <v>744</v>
      </c>
      <c r="G55" s="349" t="s">
        <v>15516</v>
      </c>
      <c r="H55" s="350" t="s">
        <v>14249</v>
      </c>
      <c r="I55" s="351" t="s">
        <v>14249</v>
      </c>
      <c r="J55" s="351" t="s">
        <v>14249</v>
      </c>
      <c r="K55" s="273"/>
      <c r="L55" s="273"/>
      <c r="M55" s="273"/>
      <c r="N55" s="273"/>
      <c r="O55" s="273"/>
      <c r="P55" s="220"/>
      <c r="Q55" s="274"/>
      <c r="R55" s="217" t="str">
        <f ca="1">IF(ISERROR($V55),"",OFFSET('Smelter Look-up'!$C$4,$V55-4,0)&amp;"")</f>
        <v/>
      </c>
      <c r="S55" s="225" t="str">
        <f t="shared" ca="1" si="6"/>
        <v>CN</v>
      </c>
      <c r="T55" s="225" t="str">
        <f ca="1">IF(B55="","",IF(ISERROR(MATCH($J55,SorP!$B$1:$B$6230,0)),"",INDIRECT("'SorP'!$A$"&amp;MATCH($J55,SorP!$B$1:$B$6230,0))))</f>
        <v/>
      </c>
      <c r="U55" s="241"/>
      <c r="V55" s="275" t="e">
        <f>IF(C55="",NA(),MATCH($B55&amp;$C55,'Smelter Look-up'!$J:$J,0))</f>
        <v>#N/A</v>
      </c>
      <c r="W55" s="276"/>
      <c r="X55" s="276">
        <f t="shared" si="7"/>
        <v>0</v>
      </c>
      <c r="Y55" s="276"/>
      <c r="Z55" s="276"/>
      <c r="AB55" s="278" t="str">
        <f t="shared" si="8"/>
        <v>GoldShandong Zhaojin Gold &amp; Silver Refinery Co. Ltd</v>
      </c>
    </row>
    <row r="56" spans="1:28" s="277" customFormat="1" ht="63.75">
      <c r="A56" s="216"/>
      <c r="B56" s="348" t="s">
        <v>1153</v>
      </c>
      <c r="C56" s="348" t="s">
        <v>1252</v>
      </c>
      <c r="D56" s="349" t="s">
        <v>1252</v>
      </c>
      <c r="E56" s="349" t="s">
        <v>15561</v>
      </c>
      <c r="F56" s="349" t="s">
        <v>724</v>
      </c>
      <c r="G56" s="349" t="s">
        <v>15516</v>
      </c>
      <c r="H56" s="350">
        <v>0</v>
      </c>
      <c r="I56" s="351" t="s">
        <v>1654</v>
      </c>
      <c r="J56" s="351" t="s">
        <v>1655</v>
      </c>
      <c r="K56" s="273"/>
      <c r="L56" s="273"/>
      <c r="M56" s="273"/>
      <c r="N56" s="273"/>
      <c r="O56" s="273"/>
      <c r="P56" s="220"/>
      <c r="Q56" s="274"/>
      <c r="R56" s="217" t="str">
        <f ca="1">IF(ISERROR($V56),"",OFFSET('Smelter Look-up'!$C$4,$V56-4,0)&amp;"")</f>
        <v>Metalor USA Refining Corporation</v>
      </c>
      <c r="S56" s="225" t="str">
        <f t="shared" ca="1" si="6"/>
        <v>Unknown</v>
      </c>
      <c r="T56" s="225" t="str">
        <f ca="1">IF(B56="","",IF(ISERROR(MATCH($J56,SorP!$B$1:$B$6230,0)),"",INDIRECT("'SorP'!$A$"&amp;MATCH($J56,SorP!$B$1:$B$6230,0))))</f>
        <v>US-MA</v>
      </c>
      <c r="U56" s="241"/>
      <c r="V56" s="275">
        <f>IF(C56="",NA(),MATCH($B56&amp;$C56,'Smelter Look-up'!$J:$J,0))</f>
        <v>159</v>
      </c>
      <c r="W56" s="276"/>
      <c r="X56" s="276">
        <f t="shared" si="7"/>
        <v>0</v>
      </c>
      <c r="Y56" s="276"/>
      <c r="Z56" s="276"/>
      <c r="AB56" s="278" t="str">
        <f t="shared" si="8"/>
        <v>GoldMetalor USA Refining Corporation</v>
      </c>
    </row>
    <row r="57" spans="1:28" s="277" customFormat="1" ht="51">
      <c r="A57" s="216"/>
      <c r="B57" s="348" t="s">
        <v>1153</v>
      </c>
      <c r="C57" s="348" t="s">
        <v>15562</v>
      </c>
      <c r="D57" s="349" t="s">
        <v>15562</v>
      </c>
      <c r="E57" s="349" t="s">
        <v>1121</v>
      </c>
      <c r="F57" s="349" t="s">
        <v>670</v>
      </c>
      <c r="G57" s="349" t="s">
        <v>15516</v>
      </c>
      <c r="H57" s="350">
        <v>0</v>
      </c>
      <c r="I57" s="351" t="s">
        <v>1578</v>
      </c>
      <c r="J57" s="351" t="s">
        <v>1579</v>
      </c>
      <c r="K57" s="273"/>
      <c r="L57" s="273"/>
      <c r="M57" s="273"/>
      <c r="N57" s="273"/>
      <c r="O57" s="273"/>
      <c r="P57" s="220"/>
      <c r="Q57" s="274"/>
      <c r="R57" s="217" t="str">
        <f ca="1">IF(ISERROR($V57),"",OFFSET('Smelter Look-up'!$C$4,$V57-4,0)&amp;"")</f>
        <v/>
      </c>
      <c r="S57" s="225" t="str">
        <f t="shared" ca="1" si="6"/>
        <v>CH</v>
      </c>
      <c r="T57" s="225" t="str">
        <f ca="1">IF(B57="","",IF(ISERROR(MATCH($J57,SorP!$B$1:$B$6230,0)),"",INDIRECT("'SorP'!$A$"&amp;MATCH($J57,SorP!$B$1:$B$6230,0))))</f>
        <v>CH-TI</v>
      </c>
      <c r="U57" s="241"/>
      <c r="V57" s="275" t="e">
        <f>IF(C57="",NA(),MATCH($B57&amp;$C57,'Smelter Look-up'!$J:$J,0))</f>
        <v>#N/A</v>
      </c>
      <c r="W57" s="276"/>
      <c r="X57" s="276">
        <f t="shared" si="7"/>
        <v>0</v>
      </c>
      <c r="Y57" s="276"/>
      <c r="Z57" s="276"/>
      <c r="AB57" s="278" t="str">
        <f t="shared" si="8"/>
        <v>GoldArgor-Heraeus SA</v>
      </c>
    </row>
    <row r="58" spans="1:28" s="277" customFormat="1" ht="114.75">
      <c r="A58" s="216"/>
      <c r="B58" s="348" t="s">
        <v>1153</v>
      </c>
      <c r="C58" s="348" t="s">
        <v>1348</v>
      </c>
      <c r="D58" s="349" t="s">
        <v>1348</v>
      </c>
      <c r="E58" s="349" t="s">
        <v>1123</v>
      </c>
      <c r="F58" s="349" t="s">
        <v>762</v>
      </c>
      <c r="G58" s="349" t="s">
        <v>15516</v>
      </c>
      <c r="H58" s="350">
        <v>0</v>
      </c>
      <c r="I58" s="351" t="s">
        <v>1720</v>
      </c>
      <c r="J58" s="351" t="s">
        <v>15563</v>
      </c>
      <c r="K58" s="273"/>
      <c r="L58" s="273"/>
      <c r="M58" s="273"/>
      <c r="N58" s="273"/>
      <c r="O58" s="273"/>
      <c r="P58" s="220"/>
      <c r="Q58" s="274"/>
      <c r="R58" s="217" t="str">
        <f ca="1">IF(ISERROR($V58),"",OFFSET('Smelter Look-up'!$C$4,$V58-4,0)&amp;"")</f>
        <v>Zhongyuan Gold Smelter of Zhongjin Gold Corporation</v>
      </c>
      <c r="S58" s="225" t="str">
        <f t="shared" ca="1" si="6"/>
        <v>CN</v>
      </c>
      <c r="T58" s="225" t="str">
        <f ca="1">IF(B58="","",IF(ISERROR(MATCH($J58,SorP!$B$1:$B$6230,0)),"",INDIRECT("'SorP'!$A$"&amp;MATCH($J58,SorP!$B$1:$B$6230,0))))</f>
        <v/>
      </c>
      <c r="U58" s="241"/>
      <c r="V58" s="275">
        <f>IF(C58="",NA(),MATCH($B58&amp;$C58,'Smelter Look-up'!$J:$J,0))</f>
        <v>290</v>
      </c>
      <c r="W58" s="276"/>
      <c r="X58" s="276">
        <f t="shared" si="7"/>
        <v>0</v>
      </c>
      <c r="Y58" s="276"/>
      <c r="Z58" s="276"/>
      <c r="AB58" s="278" t="str">
        <f t="shared" si="8"/>
        <v>GoldZhongyuan Gold Smelter of Zhongjin Gold Corporation</v>
      </c>
    </row>
    <row r="59" spans="1:28" s="277" customFormat="1" ht="76.5">
      <c r="A59" s="216"/>
      <c r="B59" s="348" t="s">
        <v>1153</v>
      </c>
      <c r="C59" s="348" t="s">
        <v>15564</v>
      </c>
      <c r="D59" s="349" t="s">
        <v>15565</v>
      </c>
      <c r="E59" s="349" t="s">
        <v>1123</v>
      </c>
      <c r="F59" s="349" t="s">
        <v>750</v>
      </c>
      <c r="G59" s="349" t="s">
        <v>15516</v>
      </c>
      <c r="H59" s="350" t="s">
        <v>14249</v>
      </c>
      <c r="I59" s="351" t="s">
        <v>14249</v>
      </c>
      <c r="J59" s="351" t="s">
        <v>14249</v>
      </c>
      <c r="K59" s="273"/>
      <c r="L59" s="273"/>
      <c r="M59" s="273"/>
      <c r="N59" s="273"/>
      <c r="O59" s="273"/>
      <c r="P59" s="220"/>
      <c r="Q59" s="274"/>
      <c r="R59" s="217" t="str">
        <f ca="1">IF(ISERROR($V59),"",OFFSET('Smelter Look-up'!$C$4,$V59-4,0)&amp;"")</f>
        <v/>
      </c>
      <c r="S59" s="225" t="str">
        <f t="shared" ca="1" si="6"/>
        <v>CN</v>
      </c>
      <c r="T59" s="225" t="str">
        <f ca="1">IF(B59="","",IF(ISERROR(MATCH($J59,SorP!$B$1:$B$6230,0)),"",INDIRECT("'SorP'!$A$"&amp;MATCH($J59,SorP!$B$1:$B$6230,0))))</f>
        <v/>
      </c>
      <c r="U59" s="241"/>
      <c r="V59" s="275" t="e">
        <f>IF(C59="",NA(),MATCH($B59&amp;$C59,'Smelter Look-up'!$J:$J,0))</f>
        <v>#N/A</v>
      </c>
      <c r="W59" s="276"/>
      <c r="X59" s="276">
        <f t="shared" si="7"/>
        <v>0</v>
      </c>
      <c r="Y59" s="276"/>
      <c r="Z59" s="276"/>
      <c r="AB59" s="278" t="str">
        <f t="shared" si="8"/>
        <v>GoldShandong Gold Mining (Laizhou)</v>
      </c>
    </row>
    <row r="60" spans="1:28" s="277" customFormat="1" ht="63.75">
      <c r="A60" s="216"/>
      <c r="B60" s="348" t="s">
        <v>1153</v>
      </c>
      <c r="C60" s="348" t="s">
        <v>56</v>
      </c>
      <c r="D60" s="349" t="s">
        <v>56</v>
      </c>
      <c r="E60" s="349" t="s">
        <v>13363</v>
      </c>
      <c r="F60" s="349" t="s">
        <v>695</v>
      </c>
      <c r="G60" s="349" t="s">
        <v>15516</v>
      </c>
      <c r="H60" s="350">
        <v>0</v>
      </c>
      <c r="I60" s="351" t="s">
        <v>1618</v>
      </c>
      <c r="J60" s="351" t="s">
        <v>15566</v>
      </c>
      <c r="K60" s="273"/>
      <c r="L60" s="273"/>
      <c r="M60" s="273"/>
      <c r="N60" s="273"/>
      <c r="O60" s="273"/>
      <c r="P60" s="220"/>
      <c r="Q60" s="274"/>
      <c r="R60" s="217" t="str">
        <f ca="1">IF(ISERROR($V60),"",OFFSET('Smelter Look-up'!$C$4,$V60-4,0)&amp;"")</f>
        <v>Heraeus Metals Hong Kong Ltd.</v>
      </c>
      <c r="S60" s="225" t="str">
        <f t="shared" ca="1" si="6"/>
        <v>HK</v>
      </c>
      <c r="T60" s="225" t="str">
        <f ca="1">IF(B60="","",IF(ISERROR(MATCH($J60,SorP!$B$1:$B$6230,0)),"",INDIRECT("'SorP'!$A$"&amp;MATCH($J60,SorP!$B$1:$B$6230,0))))</f>
        <v/>
      </c>
      <c r="U60" s="241"/>
      <c r="V60" s="275">
        <f>IF(C60="",NA(),MATCH($B60&amp;$C60,'Smelter Look-up'!$J:$J,0))</f>
        <v>96</v>
      </c>
      <c r="W60" s="276"/>
      <c r="X60" s="276">
        <f t="shared" si="7"/>
        <v>0</v>
      </c>
      <c r="Y60" s="276"/>
      <c r="Z60" s="276"/>
      <c r="AB60" s="278" t="str">
        <f t="shared" si="8"/>
        <v>GoldHeraeus Ltd. Hong Kong</v>
      </c>
    </row>
    <row r="61" spans="1:28" s="277" customFormat="1" ht="102">
      <c r="A61" s="216"/>
      <c r="B61" s="348" t="s">
        <v>1153</v>
      </c>
      <c r="C61" s="348" t="s">
        <v>15567</v>
      </c>
      <c r="D61" s="349" t="s">
        <v>15567</v>
      </c>
      <c r="E61" s="349" t="s">
        <v>1116</v>
      </c>
      <c r="F61" s="349" t="s">
        <v>758</v>
      </c>
      <c r="G61" s="349" t="s">
        <v>15516</v>
      </c>
      <c r="H61" s="350">
        <v>0</v>
      </c>
      <c r="I61" s="351" t="s">
        <v>1713</v>
      </c>
      <c r="J61" s="351" t="s">
        <v>1714</v>
      </c>
      <c r="K61" s="273"/>
      <c r="L61" s="273"/>
      <c r="M61" s="273"/>
      <c r="N61" s="273"/>
      <c r="O61" s="273"/>
      <c r="P61" s="220"/>
      <c r="Q61" s="274"/>
      <c r="R61" s="217" t="str">
        <f ca="1">IF(ISERROR($V61),"",OFFSET('Smelter Look-up'!$C$4,$V61-4,0)&amp;"")</f>
        <v/>
      </c>
      <c r="S61" s="225" t="str">
        <f t="shared" ca="1" si="6"/>
        <v>AU</v>
      </c>
      <c r="T61" s="225" t="str">
        <f ca="1">IF(B61="","",IF(ISERROR(MATCH($J61,SorP!$B$1:$B$6230,0)),"",INDIRECT("'SorP'!$A$"&amp;MATCH($J61,SorP!$B$1:$B$6230,0))))</f>
        <v>AU-WA</v>
      </c>
      <c r="U61" s="241"/>
      <c r="V61" s="275" t="e">
        <f>IF(C61="",NA(),MATCH($B61&amp;$C61,'Smelter Look-up'!$J:$J,0))</f>
        <v>#N/A</v>
      </c>
      <c r="W61" s="276"/>
      <c r="X61" s="276">
        <f t="shared" si="7"/>
        <v>0</v>
      </c>
      <c r="Y61" s="276"/>
      <c r="Z61" s="276"/>
      <c r="AB61" s="278" t="str">
        <f t="shared" si="8"/>
        <v>GoldWestern Australian Mint trading as The Perth Mint</v>
      </c>
    </row>
    <row r="62" spans="1:28" s="277" customFormat="1" ht="25.5">
      <c r="A62" s="216"/>
      <c r="B62" s="348" t="s">
        <v>1153</v>
      </c>
      <c r="C62" s="348" t="s">
        <v>931</v>
      </c>
      <c r="D62" s="349" t="s">
        <v>931</v>
      </c>
      <c r="E62" s="349" t="s">
        <v>1131</v>
      </c>
      <c r="F62" s="349" t="s">
        <v>702</v>
      </c>
      <c r="G62" s="349" t="s">
        <v>15516</v>
      </c>
      <c r="H62" s="350">
        <v>0</v>
      </c>
      <c r="I62" s="351" t="s">
        <v>1626</v>
      </c>
      <c r="J62" s="351" t="s">
        <v>15568</v>
      </c>
      <c r="K62" s="273"/>
      <c r="L62" s="273"/>
      <c r="M62" s="273"/>
      <c r="N62" s="273"/>
      <c r="O62" s="273"/>
      <c r="P62" s="220"/>
      <c r="Q62" s="274"/>
      <c r="R62" s="217" t="str">
        <f ca="1">IF(ISERROR($V62),"",OFFSET('Smelter Look-up'!$C$4,$V62-4,0)&amp;"")</f>
        <v>Japan Mint</v>
      </c>
      <c r="S62" s="225" t="str">
        <f t="shared" ca="1" si="6"/>
        <v>JP</v>
      </c>
      <c r="T62" s="225" t="str">
        <f ca="1">IF(B62="","",IF(ISERROR(MATCH($J62,SorP!$B$1:$B$6230,0)),"",INDIRECT("'SorP'!$A$"&amp;MATCH($J62,SorP!$B$1:$B$6230,0))))</f>
        <v/>
      </c>
      <c r="U62" s="241"/>
      <c r="V62" s="275">
        <f>IF(C62="",NA(),MATCH($B62&amp;$C62,'Smelter Look-up'!$J:$J,0))</f>
        <v>111</v>
      </c>
      <c r="W62" s="276"/>
      <c r="X62" s="276">
        <f t="shared" si="7"/>
        <v>0</v>
      </c>
      <c r="Y62" s="276"/>
      <c r="Z62" s="276"/>
      <c r="AB62" s="278" t="str">
        <f t="shared" si="8"/>
        <v>GoldJapan Mint</v>
      </c>
    </row>
    <row r="63" spans="1:28" s="277" customFormat="1" ht="63.75">
      <c r="A63" s="216"/>
      <c r="B63" s="348" t="s">
        <v>1153</v>
      </c>
      <c r="C63" s="348" t="s">
        <v>1256</v>
      </c>
      <c r="D63" s="349" t="s">
        <v>1256</v>
      </c>
      <c r="E63" s="349" t="s">
        <v>1131</v>
      </c>
      <c r="F63" s="349" t="s">
        <v>748</v>
      </c>
      <c r="G63" s="349" t="s">
        <v>15516</v>
      </c>
      <c r="H63" s="350">
        <v>0</v>
      </c>
      <c r="I63" s="351" t="s">
        <v>1696</v>
      </c>
      <c r="J63" s="351" t="s">
        <v>1697</v>
      </c>
      <c r="K63" s="273"/>
      <c r="L63" s="273"/>
      <c r="M63" s="273"/>
      <c r="N63" s="273"/>
      <c r="O63" s="273"/>
      <c r="P63" s="220"/>
      <c r="Q63" s="274"/>
      <c r="R63" s="217" t="str">
        <f ca="1">IF(ISERROR($V63),"",OFFSET('Smelter Look-up'!$C$4,$V63-4,0)&amp;"")</f>
        <v>Tanaka Kikinzoku Kogyo K.K.</v>
      </c>
      <c r="S63" s="225" t="str">
        <f t="shared" ca="1" si="6"/>
        <v>JP</v>
      </c>
      <c r="T63" s="225" t="str">
        <f ca="1">IF(B63="","",IF(ISERROR(MATCH($J63,SorP!$B$1:$B$6230,0)),"",INDIRECT("'SorP'!$A$"&amp;MATCH($J63,SorP!$B$1:$B$6230,0))))</f>
        <v>JP-14</v>
      </c>
      <c r="U63" s="241"/>
      <c r="V63" s="275">
        <f>IF(C63="",NA(),MATCH($B63&amp;$C63,'Smelter Look-up'!$J:$J,0))</f>
        <v>252</v>
      </c>
      <c r="W63" s="276"/>
      <c r="X63" s="276">
        <f t="shared" si="7"/>
        <v>0</v>
      </c>
      <c r="Y63" s="276"/>
      <c r="Z63" s="276"/>
      <c r="AB63" s="278" t="str">
        <f t="shared" si="8"/>
        <v>GoldTanaka Kikinzoku Kogyo K.K.</v>
      </c>
    </row>
    <row r="64" spans="1:28" s="277" customFormat="1" ht="76.5">
      <c r="A64" s="216"/>
      <c r="B64" s="348" t="s">
        <v>1153</v>
      </c>
      <c r="C64" s="348" t="s">
        <v>60</v>
      </c>
      <c r="D64" s="349" t="s">
        <v>60</v>
      </c>
      <c r="E64" s="349" t="s">
        <v>1131</v>
      </c>
      <c r="F64" s="349" t="s">
        <v>747</v>
      </c>
      <c r="G64" s="349" t="s">
        <v>15516</v>
      </c>
      <c r="H64" s="350">
        <v>0</v>
      </c>
      <c r="I64" s="351" t="s">
        <v>1694</v>
      </c>
      <c r="J64" s="351" t="s">
        <v>2323</v>
      </c>
      <c r="K64" s="273"/>
      <c r="L64" s="273"/>
      <c r="M64" s="273"/>
      <c r="N64" s="273"/>
      <c r="O64" s="273"/>
      <c r="P64" s="220"/>
      <c r="Q64" s="274"/>
      <c r="R64" s="217" t="str">
        <f ca="1">IF(ISERROR($V64),"",OFFSET('Smelter Look-up'!$C$4,$V64-4,0)&amp;"")</f>
        <v>Sumitomo Metal Mining Co., Ltd.</v>
      </c>
      <c r="S64" s="225" t="str">
        <f t="shared" ca="1" si="6"/>
        <v>JP</v>
      </c>
      <c r="T64" s="225" t="str">
        <f ca="1">IF(B64="","",IF(ISERROR(MATCH($J64,SorP!$B$1:$B$6230,0)),"",INDIRECT("'SorP'!$A$"&amp;MATCH($J64,SorP!$B$1:$B$6230,0))))</f>
        <v>JP-38</v>
      </c>
      <c r="U64" s="241"/>
      <c r="V64" s="275">
        <f>IF(C64="",NA(),MATCH($B64&amp;$C64,'Smelter Look-up'!$J:$J,0))</f>
        <v>240</v>
      </c>
      <c r="W64" s="276"/>
      <c r="X64" s="276">
        <f t="shared" si="7"/>
        <v>0</v>
      </c>
      <c r="Y64" s="276"/>
      <c r="Z64" s="276"/>
      <c r="AB64" s="278" t="str">
        <f t="shared" si="8"/>
        <v>GoldSumitomo Metal Mining Co., Ltd.</v>
      </c>
    </row>
    <row r="65" spans="1:28" s="277" customFormat="1" ht="76.5">
      <c r="A65" s="216"/>
      <c r="B65" s="348" t="s">
        <v>1153</v>
      </c>
      <c r="C65" s="348" t="s">
        <v>57</v>
      </c>
      <c r="D65" s="349" t="s">
        <v>57</v>
      </c>
      <c r="E65" s="349" t="s">
        <v>1131</v>
      </c>
      <c r="F65" s="349" t="s">
        <v>708</v>
      </c>
      <c r="G65" s="349" t="s">
        <v>15516</v>
      </c>
      <c r="H65" s="350">
        <v>0</v>
      </c>
      <c r="I65" s="351" t="s">
        <v>2496</v>
      </c>
      <c r="J65" s="351" t="s">
        <v>2496</v>
      </c>
      <c r="K65" s="273"/>
      <c r="L65" s="273"/>
      <c r="M65" s="273"/>
      <c r="N65" s="273"/>
      <c r="O65" s="273"/>
      <c r="P65" s="220"/>
      <c r="Q65" s="274"/>
      <c r="R65" s="217" t="str">
        <f ca="1">IF(ISERROR($V65),"",OFFSET('Smelter Look-up'!$C$4,$V65-4,0)&amp;"")</f>
        <v>JX Nippon Mining &amp; Metals Co., Ltd.</v>
      </c>
      <c r="S65" s="225" t="str">
        <f t="shared" ca="1" si="6"/>
        <v>JP</v>
      </c>
      <c r="T65" s="225" t="str">
        <f ca="1">IF(B65="","",IF(ISERROR(MATCH($J65,SorP!$B$1:$B$6230,0)),"",INDIRECT("'SorP'!$A$"&amp;MATCH($J65,SorP!$B$1:$B$6230,0))))</f>
        <v/>
      </c>
      <c r="U65" s="241"/>
      <c r="V65" s="275">
        <f>IF(C65="",NA(),MATCH($B65&amp;$C65,'Smelter Look-up'!$J:$J,0))</f>
        <v>120</v>
      </c>
      <c r="W65" s="276"/>
      <c r="X65" s="276">
        <f t="shared" si="7"/>
        <v>0</v>
      </c>
      <c r="Y65" s="276"/>
      <c r="Z65" s="276"/>
      <c r="AB65" s="278" t="str">
        <f t="shared" si="8"/>
        <v>GoldJX Nippon Mining &amp; Metals Co., Ltd.</v>
      </c>
    </row>
    <row r="66" spans="1:28" s="277" customFormat="1" ht="63.75">
      <c r="A66" s="216"/>
      <c r="B66" s="348" t="s">
        <v>1153</v>
      </c>
      <c r="C66" s="348" t="s">
        <v>59</v>
      </c>
      <c r="D66" s="349" t="s">
        <v>59</v>
      </c>
      <c r="E66" s="349" t="s">
        <v>1131</v>
      </c>
      <c r="F66" s="349" t="s">
        <v>720</v>
      </c>
      <c r="G66" s="349" t="s">
        <v>15516</v>
      </c>
      <c r="H66" s="350">
        <v>0</v>
      </c>
      <c r="I66" s="351" t="s">
        <v>1648</v>
      </c>
      <c r="J66" s="351" t="s">
        <v>1610</v>
      </c>
      <c r="K66" s="273"/>
      <c r="L66" s="273"/>
      <c r="M66" s="273"/>
      <c r="N66" s="273"/>
      <c r="O66" s="273"/>
      <c r="P66" s="220"/>
      <c r="Q66" s="274"/>
      <c r="R66" s="217" t="str">
        <f ca="1">IF(ISERROR($V66),"",OFFSET('Smelter Look-up'!$C$4,$V66-4,0)&amp;"")</f>
        <v>Matsuda Sangyo Co., Ltd.</v>
      </c>
      <c r="S66" s="225" t="str">
        <f t="shared" ca="1" si="6"/>
        <v>JP</v>
      </c>
      <c r="T66" s="225" t="str">
        <f ca="1">IF(B66="","",IF(ISERROR(MATCH($J66,SorP!$B$1:$B$6230,0)),"",INDIRECT("'SorP'!$A$"&amp;MATCH($J66,SorP!$B$1:$B$6230,0))))</f>
        <v>JP-11</v>
      </c>
      <c r="U66" s="241"/>
      <c r="V66" s="275">
        <f>IF(C66="",NA(),MATCH($B66&amp;$C66,'Smelter Look-up'!$J:$J,0))</f>
        <v>150</v>
      </c>
      <c r="W66" s="276"/>
      <c r="X66" s="276">
        <f t="shared" si="7"/>
        <v>0</v>
      </c>
      <c r="Y66" s="276"/>
      <c r="Z66" s="276"/>
      <c r="AB66" s="278" t="str">
        <f t="shared" si="8"/>
        <v>GoldMatsuda Sangyo Co., Ltd.</v>
      </c>
    </row>
    <row r="67" spans="1:28" s="277" customFormat="1" ht="51">
      <c r="A67" s="216"/>
      <c r="B67" s="348" t="s">
        <v>1153</v>
      </c>
      <c r="C67" s="348" t="s">
        <v>58</v>
      </c>
      <c r="D67" s="349" t="s">
        <v>58</v>
      </c>
      <c r="E67" s="349" t="s">
        <v>1134</v>
      </c>
      <c r="F67" s="349" t="s">
        <v>716</v>
      </c>
      <c r="G67" s="349" t="s">
        <v>15516</v>
      </c>
      <c r="H67" s="350">
        <v>0</v>
      </c>
      <c r="I67" s="351" t="s">
        <v>1643</v>
      </c>
      <c r="J67" s="351" t="s">
        <v>15569</v>
      </c>
      <c r="K67" s="273"/>
      <c r="L67" s="273"/>
      <c r="M67" s="273"/>
      <c r="N67" s="273"/>
      <c r="O67" s="273"/>
      <c r="P67" s="220"/>
      <c r="Q67" s="274"/>
      <c r="R67" s="217" t="str">
        <f ca="1">IF(ISERROR($V67),"",OFFSET('Smelter Look-up'!$C$4,$V67-4,0)&amp;"")</f>
        <v>LS-NIKKO Copper Inc.</v>
      </c>
      <c r="S67" s="225" t="str">
        <f t="shared" ca="1" si="6"/>
        <v>KR</v>
      </c>
      <c r="T67" s="225" t="str">
        <f ca="1">IF(B67="","",IF(ISERROR(MATCH($J67,SorP!$B$1:$B$6230,0)),"",INDIRECT("'SorP'!$A$"&amp;MATCH($J67,SorP!$B$1:$B$6230,0))))</f>
        <v/>
      </c>
      <c r="U67" s="241"/>
      <c r="V67" s="275">
        <f>IF(C67="",NA(),MATCH($B67&amp;$C67,'Smelter Look-up'!$J:$J,0))</f>
        <v>143</v>
      </c>
      <c r="W67" s="276"/>
      <c r="X67" s="276">
        <f t="shared" si="7"/>
        <v>0</v>
      </c>
      <c r="Y67" s="276"/>
      <c r="Z67" s="276"/>
      <c r="AB67" s="278" t="str">
        <f t="shared" si="8"/>
        <v>GoldLS-NIKKO Copper Inc.</v>
      </c>
    </row>
    <row r="68" spans="1:28" s="277" customFormat="1" ht="89.25">
      <c r="A68" s="216"/>
      <c r="B68" s="348" t="s">
        <v>1153</v>
      </c>
      <c r="C68" s="348" t="s">
        <v>15570</v>
      </c>
      <c r="D68" s="349" t="s">
        <v>15570</v>
      </c>
      <c r="E68" s="349" t="s">
        <v>13363</v>
      </c>
      <c r="F68" s="349" t="s">
        <v>721</v>
      </c>
      <c r="G68" s="349" t="s">
        <v>15516</v>
      </c>
      <c r="H68" s="350" t="s">
        <v>14249</v>
      </c>
      <c r="I68" s="351" t="s">
        <v>14249</v>
      </c>
      <c r="J68" s="351" t="s">
        <v>14249</v>
      </c>
      <c r="K68" s="273"/>
      <c r="L68" s="273"/>
      <c r="M68" s="273"/>
      <c r="N68" s="273"/>
      <c r="O68" s="273"/>
      <c r="P68" s="220"/>
      <c r="Q68" s="274"/>
      <c r="R68" s="217" t="str">
        <f ca="1">IF(ISERROR($V68),"",OFFSET('Smelter Look-up'!$C$4,$V68-4,0)&amp;"")</f>
        <v/>
      </c>
      <c r="S68" s="225" t="str">
        <f t="shared" ca="1" si="6"/>
        <v>HK</v>
      </c>
      <c r="T68" s="225" t="str">
        <f ca="1">IF(B68="","",IF(ISERROR(MATCH($J68,SorP!$B$1:$B$6230,0)),"",INDIRECT("'SorP'!$A$"&amp;MATCH($J68,SorP!$B$1:$B$6230,0))))</f>
        <v/>
      </c>
      <c r="U68" s="241"/>
      <c r="V68" s="275" t="e">
        <f>IF(C68="",NA(),MATCH($B68&amp;$C68,'Smelter Look-up'!$J:$J,0))</f>
        <v>#N/A</v>
      </c>
      <c r="W68" s="276"/>
      <c r="X68" s="276">
        <f t="shared" si="7"/>
        <v>0</v>
      </c>
      <c r="Y68" s="276"/>
      <c r="Z68" s="276"/>
      <c r="AB68" s="278" t="str">
        <f t="shared" si="8"/>
        <v>GoldMetalor Technologies (Hong Kong) Ltd</v>
      </c>
    </row>
    <row r="69" spans="1:28" s="277" customFormat="1" ht="76.5">
      <c r="A69" s="216"/>
      <c r="B69" s="348" t="s">
        <v>1153</v>
      </c>
      <c r="C69" s="348" t="s">
        <v>1187</v>
      </c>
      <c r="D69" s="349" t="s">
        <v>1187</v>
      </c>
      <c r="E69" s="349" t="s">
        <v>1131</v>
      </c>
      <c r="F69" s="349" t="s">
        <v>726</v>
      </c>
      <c r="G69" s="349" t="s">
        <v>15516</v>
      </c>
      <c r="H69" s="350">
        <v>0</v>
      </c>
      <c r="I69" s="351" t="s">
        <v>1657</v>
      </c>
      <c r="J69" s="351" t="s">
        <v>2322</v>
      </c>
      <c r="K69" s="273"/>
      <c r="L69" s="273"/>
      <c r="M69" s="273"/>
      <c r="N69" s="273"/>
      <c r="O69" s="273"/>
      <c r="P69" s="220"/>
      <c r="Q69" s="274"/>
      <c r="R69" s="217" t="str">
        <f ca="1">IF(ISERROR($V69),"",OFFSET('Smelter Look-up'!$C$4,$V69-4,0)&amp;"")</f>
        <v>Mitsubishi Materials Corporation</v>
      </c>
      <c r="S69" s="225" t="str">
        <f t="shared" ref="S69" ca="1" si="9">IF(B69="","",IF(ISERROR(MATCH($E69,CL,0)),"Unknown",INDIRECT("'C'!$A$"&amp;MATCH($E69,CL,0)+1)))</f>
        <v>JP</v>
      </c>
      <c r="T69" s="225" t="str">
        <f ca="1">IF(B69="","",IF(ISERROR(MATCH($J69,SorP!$B$1:$B$6230,0)),"",INDIRECT("'SorP'!$A$"&amp;MATCH($J69,SorP!$B$1:$B$6230,0))))</f>
        <v>JP-37</v>
      </c>
      <c r="U69" s="241"/>
      <c r="V69" s="275">
        <f>IF(C69="",NA(),MATCH($B69&amp;$C69,'Smelter Look-up'!$J:$J,0))</f>
        <v>164</v>
      </c>
      <c r="W69" s="276"/>
      <c r="X69" s="276">
        <f t="shared" ref="X69" si="10">IF(AND(C69="Smelter not listed",OR(LEN(D69)=0,LEN(E69)=0)),1,0)</f>
        <v>0</v>
      </c>
      <c r="Y69" s="276"/>
      <c r="Z69" s="276"/>
      <c r="AB69" s="278" t="str">
        <f t="shared" ref="AB69" si="11">B69&amp;C69</f>
        <v>GoldMitsubishi Materials Corporation</v>
      </c>
    </row>
    <row r="70" spans="1:28" s="277" customFormat="1" ht="76.5">
      <c r="A70" s="216"/>
      <c r="B70" s="348" t="s">
        <v>1153</v>
      </c>
      <c r="C70" s="348" t="s">
        <v>15571</v>
      </c>
      <c r="D70" s="349" t="s">
        <v>15572</v>
      </c>
      <c r="E70" s="349" t="s">
        <v>15561</v>
      </c>
      <c r="F70" s="349" t="s">
        <v>704</v>
      </c>
      <c r="G70" s="349" t="s">
        <v>15516</v>
      </c>
      <c r="H70" s="350" t="s">
        <v>14249</v>
      </c>
      <c r="I70" s="351" t="s">
        <v>14249</v>
      </c>
      <c r="J70" s="351" t="s">
        <v>14249</v>
      </c>
      <c r="K70" s="273"/>
      <c r="L70" s="273"/>
      <c r="M70" s="273"/>
      <c r="N70" s="273"/>
      <c r="O70" s="273"/>
      <c r="P70" s="220"/>
      <c r="Q70" s="274"/>
      <c r="R70" s="217" t="str">
        <f ca="1">IF(ISERROR($V70),"",OFFSET('Smelter Look-up'!$C$4,$V70-4,0)&amp;"")</f>
        <v/>
      </c>
      <c r="S70" s="225" t="str">
        <f t="shared" ref="S70:S101" ca="1" si="12">IF(B70="","",IF(ISERROR(MATCH($E70,CL,0)),"Unknown",INDIRECT("'C'!$A$"&amp;MATCH($E70,CL,0)+1)))</f>
        <v>Unknown</v>
      </c>
      <c r="T70" s="225" t="str">
        <f ca="1">IF(B70="","",IF(ISERROR(MATCH($J70,SorP!$B$1:$B$6230,0)),"",INDIRECT("'SorP'!$A$"&amp;MATCH($J70,SorP!$B$1:$B$6230,0))))</f>
        <v/>
      </c>
      <c r="U70" s="241"/>
      <c r="V70" s="275" t="e">
        <f>IF(C70="",NA(),MATCH($B70&amp;$C70,'Smelter Look-up'!$J:$J,0))</f>
        <v>#N/A</v>
      </c>
      <c r="W70" s="276"/>
      <c r="X70" s="276">
        <f t="shared" ref="X70:X101" si="13">IF(AND(C70="Smelter not listed",OR(LEN(D70)=0,LEN(E70)=0)),1,0)</f>
        <v>0</v>
      </c>
      <c r="Y70" s="276"/>
      <c r="Z70" s="276"/>
      <c r="AB70" s="278" t="str">
        <f t="shared" ref="AB70:AB101" si="14">B70&amp;C70</f>
        <v>GoldJohnson Matthey (Salt Lake City)</v>
      </c>
    </row>
    <row r="71" spans="1:28" s="277" customFormat="1" ht="102">
      <c r="A71" s="216"/>
      <c r="B71" s="348" t="s">
        <v>1153</v>
      </c>
      <c r="C71" s="348" t="s">
        <v>54</v>
      </c>
      <c r="D71" s="349" t="s">
        <v>54</v>
      </c>
      <c r="E71" s="349" t="s">
        <v>1124</v>
      </c>
      <c r="F71" s="349" t="s">
        <v>667</v>
      </c>
      <c r="G71" s="349" t="s">
        <v>15516</v>
      </c>
      <c r="H71" s="350">
        <v>0</v>
      </c>
      <c r="I71" s="351" t="s">
        <v>1572</v>
      </c>
      <c r="J71" s="351" t="s">
        <v>1573</v>
      </c>
      <c r="K71" s="273"/>
      <c r="L71" s="273"/>
      <c r="M71" s="273"/>
      <c r="N71" s="273"/>
      <c r="O71" s="273"/>
      <c r="P71" s="220"/>
      <c r="Q71" s="274"/>
      <c r="R71" s="217" t="str">
        <f ca="1">IF(ISERROR($V71),"",OFFSET('Smelter Look-up'!$C$4,$V71-4,0)&amp;"")</f>
        <v>Allgemeine Gold-und Silberscheideanstalt A.G.</v>
      </c>
      <c r="S71" s="225" t="str">
        <f t="shared" ca="1" si="12"/>
        <v>DE</v>
      </c>
      <c r="T71" s="225" t="str">
        <f ca="1">IF(B71="","",IF(ISERROR(MATCH($J71,SorP!$B$1:$B$6230,0)),"",INDIRECT("'SorP'!$A$"&amp;MATCH($J71,SorP!$B$1:$B$6230,0))))</f>
        <v>DE-BW</v>
      </c>
      <c r="U71" s="241"/>
      <c r="V71" s="275">
        <f>IF(C71="",NA(),MATCH($B71&amp;$C71,'Smelter Look-up'!$J:$J,0))</f>
        <v>14</v>
      </c>
      <c r="W71" s="276"/>
      <c r="X71" s="276">
        <f t="shared" si="13"/>
        <v>0</v>
      </c>
      <c r="Y71" s="276"/>
      <c r="Z71" s="276"/>
      <c r="AB71" s="278" t="str">
        <f t="shared" si="14"/>
        <v>GoldAllgemeine Gold-und Silberscheideanstalt A.G.</v>
      </c>
    </row>
    <row r="72" spans="1:28" s="277" customFormat="1" ht="63.75">
      <c r="A72" s="216"/>
      <c r="B72" s="348" t="s">
        <v>1153</v>
      </c>
      <c r="C72" s="348" t="s">
        <v>15573</v>
      </c>
      <c r="D72" s="349" t="s">
        <v>15573</v>
      </c>
      <c r="E72" s="349" t="s">
        <v>1131</v>
      </c>
      <c r="F72" s="349" t="s">
        <v>671</v>
      </c>
      <c r="G72" s="349" t="s">
        <v>15516</v>
      </c>
      <c r="H72" s="350">
        <v>0</v>
      </c>
      <c r="I72" s="351" t="s">
        <v>1580</v>
      </c>
      <c r="J72" s="351" t="s">
        <v>1581</v>
      </c>
      <c r="K72" s="273"/>
      <c r="L72" s="273"/>
      <c r="M72" s="273"/>
      <c r="N72" s="273"/>
      <c r="O72" s="273"/>
      <c r="P72" s="220"/>
      <c r="Q72" s="274"/>
      <c r="R72" s="217" t="str">
        <f ca="1">IF(ISERROR($V72),"",OFFSET('Smelter Look-up'!$C$4,$V72-4,0)&amp;"")</f>
        <v/>
      </c>
      <c r="S72" s="225" t="str">
        <f t="shared" ca="1" si="12"/>
        <v>JP</v>
      </c>
      <c r="T72" s="225" t="str">
        <f ca="1">IF(B72="","",IF(ISERROR(MATCH($J72,SorP!$B$1:$B$6230,0)),"",INDIRECT("'SorP'!$A$"&amp;MATCH($J72,SorP!$B$1:$B$6230,0))))</f>
        <v>JP-28</v>
      </c>
      <c r="U72" s="241"/>
      <c r="V72" s="275" t="e">
        <f>IF(C72="",NA(),MATCH($B72&amp;$C72,'Smelter Look-up'!$J:$J,0))</f>
        <v>#N/A</v>
      </c>
      <c r="W72" s="276"/>
      <c r="X72" s="276">
        <f t="shared" si="13"/>
        <v>0</v>
      </c>
      <c r="Y72" s="276"/>
      <c r="Z72" s="276"/>
      <c r="AB72" s="278" t="str">
        <f t="shared" si="14"/>
        <v>GoldAsahi Pretec Corporation</v>
      </c>
    </row>
    <row r="73" spans="1:28" s="277" customFormat="1" ht="76.5">
      <c r="A73" s="216"/>
      <c r="B73" s="348" t="s">
        <v>1153</v>
      </c>
      <c r="C73" s="348" t="s">
        <v>23</v>
      </c>
      <c r="D73" s="349" t="s">
        <v>15565</v>
      </c>
      <c r="E73" s="349" t="s">
        <v>1123</v>
      </c>
      <c r="F73" s="349" t="s">
        <v>750</v>
      </c>
      <c r="G73" s="349" t="s">
        <v>15516</v>
      </c>
      <c r="H73" s="350">
        <v>0</v>
      </c>
      <c r="I73" s="351" t="s">
        <v>1687</v>
      </c>
      <c r="J73" s="351" t="s">
        <v>15574</v>
      </c>
      <c r="K73" s="273"/>
      <c r="L73" s="273"/>
      <c r="M73" s="273"/>
      <c r="N73" s="273"/>
      <c r="O73" s="273"/>
      <c r="P73" s="220"/>
      <c r="Q73" s="274"/>
      <c r="R73" s="217" t="str">
        <f ca="1">IF(ISERROR($V73),"",OFFSET('Smelter Look-up'!$C$4,$V73-4,0)&amp;"")</f>
        <v>The Refinery of Shandong Gold Mining Co., Ltd.</v>
      </c>
      <c r="S73" s="225" t="str">
        <f t="shared" ca="1" si="12"/>
        <v>CN</v>
      </c>
      <c r="T73" s="225" t="str">
        <f ca="1">IF(B73="","",IF(ISERROR(MATCH($J73,SorP!$B$1:$B$6230,0)),"",INDIRECT("'SorP'!$A$"&amp;MATCH($J73,SorP!$B$1:$B$6230,0))))</f>
        <v/>
      </c>
      <c r="U73" s="241"/>
      <c r="V73" s="275">
        <f>IF(C73="",NA(),MATCH($B73&amp;$C73,'Smelter Look-up'!$J:$J,0))</f>
        <v>53</v>
      </c>
      <c r="W73" s="276"/>
      <c r="X73" s="276">
        <f t="shared" si="13"/>
        <v>0</v>
      </c>
      <c r="Y73" s="276"/>
      <c r="Z73" s="276"/>
      <c r="AB73" s="278" t="str">
        <f t="shared" si="14"/>
        <v>GoldChina's Shandong Gold Mining Co., Ltd</v>
      </c>
    </row>
    <row r="74" spans="1:28" s="277" customFormat="1" ht="127.5">
      <c r="A74" s="216"/>
      <c r="B74" s="348" t="s">
        <v>1153</v>
      </c>
      <c r="C74" s="348" t="s">
        <v>927</v>
      </c>
      <c r="D74" s="349" t="s">
        <v>927</v>
      </c>
      <c r="E74" s="349" t="s">
        <v>904</v>
      </c>
      <c r="F74" s="349" t="s">
        <v>675</v>
      </c>
      <c r="G74" s="349" t="s">
        <v>15516</v>
      </c>
      <c r="H74" s="350">
        <v>0</v>
      </c>
      <c r="I74" s="351" t="s">
        <v>2310</v>
      </c>
      <c r="J74" s="351" t="s">
        <v>15575</v>
      </c>
      <c r="K74" s="273"/>
      <c r="L74" s="273"/>
      <c r="M74" s="273"/>
      <c r="N74" s="273"/>
      <c r="O74" s="273"/>
      <c r="P74" s="220"/>
      <c r="Q74" s="274"/>
      <c r="R74" s="217" t="str">
        <f ca="1">IF(ISERROR($V74),"",OFFSET('Smelter Look-up'!$C$4,$V74-4,0)&amp;"")</f>
        <v>Bangko Sentral ng Pilipinas (Central Bank of the Philippines)</v>
      </c>
      <c r="S74" s="225" t="str">
        <f t="shared" ca="1" si="12"/>
        <v>PH</v>
      </c>
      <c r="T74" s="225" t="str">
        <f ca="1">IF(B74="","",IF(ISERROR(MATCH($J74,SorP!$B$1:$B$6230,0)),"",INDIRECT("'SorP'!$A$"&amp;MATCH($J74,SorP!$B$1:$B$6230,0))))</f>
        <v/>
      </c>
      <c r="U74" s="241"/>
      <c r="V74" s="275">
        <f>IF(C74="",NA(),MATCH($B74&amp;$C74,'Smelter Look-up'!$J:$J,0))</f>
        <v>36</v>
      </c>
      <c r="W74" s="276"/>
      <c r="X74" s="276">
        <f t="shared" si="13"/>
        <v>0</v>
      </c>
      <c r="Y74" s="276"/>
      <c r="Z74" s="276"/>
      <c r="AB74" s="278" t="str">
        <f t="shared" si="14"/>
        <v>GoldBangko Sentral ng Pilipinas (Central Bank of the Philippines)</v>
      </c>
    </row>
    <row r="75" spans="1:28" s="277" customFormat="1" ht="76.5">
      <c r="A75" s="216"/>
      <c r="B75" s="348" t="s">
        <v>1153</v>
      </c>
      <c r="C75" s="348" t="s">
        <v>15576</v>
      </c>
      <c r="D75" s="349" t="s">
        <v>15576</v>
      </c>
      <c r="E75" s="349" t="s">
        <v>1123</v>
      </c>
      <c r="F75" s="349" t="s">
        <v>703</v>
      </c>
      <c r="G75" s="349" t="s">
        <v>15516</v>
      </c>
      <c r="H75" s="350">
        <v>0</v>
      </c>
      <c r="I75" s="351" t="s">
        <v>1627</v>
      </c>
      <c r="J75" s="351" t="s">
        <v>15577</v>
      </c>
      <c r="K75" s="273"/>
      <c r="L75" s="273"/>
      <c r="M75" s="273"/>
      <c r="N75" s="273"/>
      <c r="O75" s="273"/>
      <c r="P75" s="220"/>
      <c r="Q75" s="274"/>
      <c r="R75" s="217" t="str">
        <f ca="1">IF(ISERROR($V75),"",OFFSET('Smelter Look-up'!$C$4,$V75-4,0)&amp;"")</f>
        <v/>
      </c>
      <c r="S75" s="225" t="str">
        <f t="shared" ca="1" si="12"/>
        <v>CN</v>
      </c>
      <c r="T75" s="225" t="str">
        <f ca="1">IF(B75="","",IF(ISERROR(MATCH($J75,SorP!$B$1:$B$6230,0)),"",INDIRECT("'SorP'!$A$"&amp;MATCH($J75,SorP!$B$1:$B$6230,0))))</f>
        <v/>
      </c>
      <c r="U75" s="241"/>
      <c r="V75" s="275" t="e">
        <f>IF(C75="",NA(),MATCH($B75&amp;$C75,'Smelter Look-up'!$J:$J,0))</f>
        <v>#N/A</v>
      </c>
      <c r="W75" s="276"/>
      <c r="X75" s="276">
        <f t="shared" si="13"/>
        <v>0</v>
      </c>
      <c r="Y75" s="276"/>
      <c r="Z75" s="276"/>
      <c r="AB75" s="278" t="str">
        <f t="shared" si="14"/>
        <v>GoldJiangxi Copper Company Limited</v>
      </c>
    </row>
    <row r="76" spans="1:28" s="277" customFormat="1" ht="76.5">
      <c r="A76" s="216"/>
      <c r="B76" s="348" t="s">
        <v>1153</v>
      </c>
      <c r="C76" s="348" t="s">
        <v>1251</v>
      </c>
      <c r="D76" s="349" t="s">
        <v>1251</v>
      </c>
      <c r="E76" s="349" t="s">
        <v>1131</v>
      </c>
      <c r="F76" s="349" t="s">
        <v>700</v>
      </c>
      <c r="G76" s="349" t="s">
        <v>15516</v>
      </c>
      <c r="H76" s="350">
        <v>0</v>
      </c>
      <c r="I76" s="351" t="s">
        <v>1624</v>
      </c>
      <c r="J76" s="351" t="s">
        <v>1610</v>
      </c>
      <c r="K76" s="273"/>
      <c r="L76" s="273"/>
      <c r="M76" s="273"/>
      <c r="N76" s="273"/>
      <c r="O76" s="273"/>
      <c r="P76" s="220"/>
      <c r="Q76" s="274"/>
      <c r="R76" s="217" t="str">
        <f ca="1">IF(ISERROR($V76),"",OFFSET('Smelter Look-up'!$C$4,$V76-4,0)&amp;"")</f>
        <v>Ishifuku Metal Industry Co., Ltd.</v>
      </c>
      <c r="S76" s="225" t="str">
        <f t="shared" ca="1" si="12"/>
        <v>JP</v>
      </c>
      <c r="T76" s="225" t="str">
        <f ca="1">IF(B76="","",IF(ISERROR(MATCH($J76,SorP!$B$1:$B$6230,0)),"",INDIRECT("'SorP'!$A$"&amp;MATCH($J76,SorP!$B$1:$B$6230,0))))</f>
        <v>JP-11</v>
      </c>
      <c r="U76" s="241"/>
      <c r="V76" s="275">
        <f>IF(C76="",NA(),MATCH($B76&amp;$C76,'Smelter Look-up'!$J:$J,0))</f>
        <v>107</v>
      </c>
      <c r="W76" s="276"/>
      <c r="X76" s="276">
        <f t="shared" si="13"/>
        <v>0</v>
      </c>
      <c r="Y76" s="276"/>
      <c r="Z76" s="276"/>
      <c r="AB76" s="278" t="str">
        <f t="shared" si="14"/>
        <v>GoldIshifuku Metal Industry Co., Ltd.</v>
      </c>
    </row>
    <row r="77" spans="1:28" s="277" customFormat="1" ht="76.5">
      <c r="A77" s="216"/>
      <c r="B77" s="348" t="s">
        <v>1153</v>
      </c>
      <c r="C77" s="348" t="s">
        <v>1257</v>
      </c>
      <c r="D77" s="349" t="s">
        <v>1348</v>
      </c>
      <c r="E77" s="349" t="s">
        <v>1123</v>
      </c>
      <c r="F77" s="349" t="s">
        <v>762</v>
      </c>
      <c r="G77" s="349" t="s">
        <v>15516</v>
      </c>
      <c r="H77" s="350">
        <v>0</v>
      </c>
      <c r="I77" s="351" t="s">
        <v>1720</v>
      </c>
      <c r="J77" s="351" t="s">
        <v>15563</v>
      </c>
      <c r="K77" s="273"/>
      <c r="L77" s="273"/>
      <c r="M77" s="273"/>
      <c r="N77" s="273"/>
      <c r="O77" s="273"/>
      <c r="P77" s="220"/>
      <c r="Q77" s="274"/>
      <c r="R77" s="217" t="str">
        <f ca="1">IF(ISERROR($V77),"",OFFSET('Smelter Look-up'!$C$4,$V77-4,0)&amp;"")</f>
        <v>Zhongyuan Gold Smelter of Zhongjin Gold Corporation</v>
      </c>
      <c r="S77" s="225" t="str">
        <f t="shared" ca="1" si="12"/>
        <v>CN</v>
      </c>
      <c r="T77" s="225" t="str">
        <f ca="1">IF(B77="","",IF(ISERROR(MATCH($J77,SorP!$B$1:$B$6230,0)),"",INDIRECT("'SorP'!$A$"&amp;MATCH($J77,SorP!$B$1:$B$6230,0))))</f>
        <v/>
      </c>
      <c r="U77" s="241"/>
      <c r="V77" s="275">
        <f>IF(C77="",NA(),MATCH($B77&amp;$C77,'Smelter Look-up'!$J:$J,0))</f>
        <v>289</v>
      </c>
      <c r="W77" s="276"/>
      <c r="X77" s="276">
        <f t="shared" si="13"/>
        <v>0</v>
      </c>
      <c r="Y77" s="276"/>
      <c r="Z77" s="276"/>
      <c r="AB77" s="278" t="str">
        <f t="shared" si="14"/>
        <v>GoldZhongjin Gold Corporation Limited</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91" priority="86" stopIfTrue="1">
      <formula>IF(B586="",TRUE)</formula>
    </cfRule>
    <cfRule type="expression" dxfId="90" priority="97" stopIfTrue="1">
      <formula>IF(AND(COUNTIF(MetalSmelter,B586&amp;C586)=0,LEN(C586)&gt;0),TRUE,FALSE)</formula>
    </cfRule>
  </conditionalFormatting>
  <conditionalFormatting sqref="D586:D2504">
    <cfRule type="expression" dxfId="89" priority="80" stopIfTrue="1">
      <formula>IF(AND(LEN($C586)&gt;0,($C586&lt;&gt;"Smelter Not Listed")),1,0)</formula>
    </cfRule>
    <cfRule type="expression" dxfId="88" priority="105" stopIfTrue="1">
      <formula>IF(AND(D586="",$C586=$X$4),TRUE)</formula>
    </cfRule>
    <cfRule type="expression" dxfId="87" priority="106" stopIfTrue="1">
      <formula>IF(FIND("!",D586),TRUE)</formula>
    </cfRule>
  </conditionalFormatting>
  <conditionalFormatting sqref="G586:G2504">
    <cfRule type="expression" dxfId="86" priority="107" stopIfTrue="1">
      <formula>IF(FIND("Enter smelter details",G586),TRUE)</formula>
    </cfRule>
  </conditionalFormatting>
  <conditionalFormatting sqref="R586:R2505 E586:E2504">
    <cfRule type="expression" dxfId="85" priority="93" stopIfTrue="1">
      <formula>IF(AND(E586="",$C586=$X$4),TRUE)</formula>
    </cfRule>
    <cfRule type="expression" dxfId="84" priority="94" stopIfTrue="1">
      <formula>IF(FIND("!",E586),TRUE)</formula>
    </cfRule>
  </conditionalFormatting>
  <conditionalFormatting sqref="F586:F2504">
    <cfRule type="expression" dxfId="83" priority="84" stopIfTrue="1">
      <formula>IF(AND(LEN($A586)&gt;0,$A586&lt;&gt;$F586),TRUE,FALSE)</formula>
    </cfRule>
  </conditionalFormatting>
  <conditionalFormatting sqref="C586:C2504">
    <cfRule type="expression" dxfId="82" priority="83" stopIfTrue="1">
      <formula>IF(AND(B586&lt;&gt;"",C586=""),TRUE)</formula>
    </cfRule>
  </conditionalFormatting>
  <conditionalFormatting sqref="B78:B585">
    <cfRule type="expression" dxfId="81" priority="62" stopIfTrue="1">
      <formula>IF(B78="",TRUE)</formula>
    </cfRule>
    <cfRule type="expression" dxfId="80" priority="65" stopIfTrue="1">
      <formula>IF(AND(COUNTIF(MetalSmelter,B78&amp;C78)=0,LEN(C78)&gt;0),TRUE,FALSE)</formula>
    </cfRule>
  </conditionalFormatting>
  <conditionalFormatting sqref="D78:D585">
    <cfRule type="expression" dxfId="79" priority="59" stopIfTrue="1">
      <formula>IF(AND(LEN($C78)&gt;0,($C78&lt;&gt;"Smelter Not Listed")),1,0)</formula>
    </cfRule>
    <cfRule type="expression" dxfId="78" priority="66" stopIfTrue="1">
      <formula>IF(AND(D78="",$C78=$X$4),TRUE)</formula>
    </cfRule>
    <cfRule type="expression" dxfId="77" priority="67" stopIfTrue="1">
      <formula>IF(FIND("!",D78),TRUE)</formula>
    </cfRule>
  </conditionalFormatting>
  <conditionalFormatting sqref="G78:G585">
    <cfRule type="expression" dxfId="76" priority="68" stopIfTrue="1">
      <formula>IF(FIND("Enter smelter details",G78),TRUE)</formula>
    </cfRule>
  </conditionalFormatting>
  <conditionalFormatting sqref="R5:R585 E78:E585">
    <cfRule type="expression" dxfId="75" priority="63" stopIfTrue="1">
      <formula>IF(AND(E5="",$C5=$X$4),TRUE)</formula>
    </cfRule>
    <cfRule type="expression" dxfId="74" priority="64" stopIfTrue="1">
      <formula>IF(FIND("!",E5),TRUE)</formula>
    </cfRule>
  </conditionalFormatting>
  <conditionalFormatting sqref="F78:F585">
    <cfRule type="expression" dxfId="73" priority="61" stopIfTrue="1">
      <formula>IF(AND(LEN($A78)&gt;0,$A78&lt;&gt;$F78),TRUE,FALSE)</formula>
    </cfRule>
  </conditionalFormatting>
  <conditionalFormatting sqref="C78:C585">
    <cfRule type="expression" dxfId="72" priority="60" stopIfTrue="1">
      <formula>IF(AND(B78&lt;&gt;"",C78=""),TRUE)</formula>
    </cfRule>
  </conditionalFormatting>
  <conditionalFormatting sqref="B5:B7">
    <cfRule type="expression" dxfId="71" priority="48" stopIfTrue="1">
      <formula>IF(AND(A5&lt;&gt;"",B5=""),TRUE)</formula>
    </cfRule>
  </conditionalFormatting>
  <conditionalFormatting sqref="C7">
    <cfRule type="expression" dxfId="70" priority="46" stopIfTrue="1">
      <formula>IF(AND(C7="",$C7=$U$4),TRUE)</formula>
    </cfRule>
    <cfRule type="expression" dxfId="69" priority="47" stopIfTrue="1">
      <formula>IF(FIND("!",C7),TRUE)</formula>
    </cfRule>
  </conditionalFormatting>
  <conditionalFormatting sqref="F7">
    <cfRule type="expression" dxfId="68" priority="108" stopIfTrue="1">
      <formula>IF(FIND("Enter smelter details",F7),TRUE)</formula>
    </cfRule>
  </conditionalFormatting>
  <conditionalFormatting sqref="D7">
    <cfRule type="expression" dxfId="67" priority="43" stopIfTrue="1">
      <formula>IF(AND(D7="",$C7=$U$4),TRUE)</formula>
    </cfRule>
    <cfRule type="expression" dxfId="66" priority="44" stopIfTrue="1">
      <formula>IF(FIND("!",D7),TRUE)</formula>
    </cfRule>
  </conditionalFormatting>
  <conditionalFormatting sqref="B8:B77">
    <cfRule type="expression" dxfId="65" priority="42" stopIfTrue="1">
      <formula>IF(AND(A8&lt;&gt;"",B8=""),TRUE)</formula>
    </cfRule>
  </conditionalFormatting>
  <conditionalFormatting sqref="C8:C35 C37:C77">
    <cfRule type="expression" dxfId="64" priority="40" stopIfTrue="1">
      <formula>IF(AND(C8="",$C8=$U$4),TRUE)</formula>
    </cfRule>
    <cfRule type="expression" dxfId="63" priority="41" stopIfTrue="1">
      <formula>IF(FIND("!",C8),TRUE)</formula>
    </cfRule>
  </conditionalFormatting>
  <conditionalFormatting sqref="F8:F35 F37:F77">
    <cfRule type="expression" dxfId="62" priority="109" stopIfTrue="1">
      <formula>IF(FIND("Enter smelter details",F8),TRUE)</formula>
    </cfRule>
  </conditionalFormatting>
  <conditionalFormatting sqref="D8:D35 D37:D77">
    <cfRule type="expression" dxfId="61" priority="37" stopIfTrue="1">
      <formula>IF(AND(D8="",$C8=$U$4),TRUE)</formula>
    </cfRule>
    <cfRule type="expression" dxfId="60" priority="38" stopIfTrue="1">
      <formula>IF(FIND("!",D8),TRUE)</formula>
    </cfRule>
  </conditionalFormatting>
  <conditionalFormatting sqref="B5:B7">
    <cfRule type="expression" dxfId="59" priority="35" stopIfTrue="1">
      <formula>IF(B5="",TRUE)</formula>
    </cfRule>
    <cfRule type="expression" dxfId="58" priority="35" stopIfTrue="1">
      <formula>IF(AND(COUNTIF(MetalSmelter,B5&amp;C5)=0,LEN(C5)&gt;0), TRUE, FALSE)</formula>
    </cfRule>
  </conditionalFormatting>
  <conditionalFormatting sqref="C7">
    <cfRule type="expression" dxfId="57" priority="34" stopIfTrue="1">
      <formula>IF(AND(B7&lt;&gt;"",C7=""),TRUE)</formula>
    </cfRule>
  </conditionalFormatting>
  <conditionalFormatting sqref="D7">
    <cfRule type="expression" dxfId="56" priority="110" stopIfTrue="1">
      <formula>IF(AND(D7="",$C7=$U$4),TRUE)</formula>
    </cfRule>
    <cfRule type="expression" dxfId="55" priority="110" stopIfTrue="1">
      <formula>IF(FIND("!",D7),TRUE)</formula>
    </cfRule>
  </conditionalFormatting>
  <conditionalFormatting sqref="G7">
    <cfRule type="expression" dxfId="54" priority="36" stopIfTrue="1">
      <formula>IF(FIND("Enter smelter details",G7),TRUE)</formula>
    </cfRule>
  </conditionalFormatting>
  <conditionalFormatting sqref="E6:E7">
    <cfRule type="expression" dxfId="53" priority="30" stopIfTrue="1">
      <formula>IF(AND(E6="",$C6=$U$4),TRUE)</formula>
    </cfRule>
    <cfRule type="expression" dxfId="52" priority="31" stopIfTrue="1">
      <formula>IF(FIND("!",E6),TRUE)</formula>
    </cfRule>
  </conditionalFormatting>
  <conditionalFormatting sqref="B8:B77">
    <cfRule type="expression" dxfId="51" priority="27" stopIfTrue="1">
      <formula>IF(B8="",TRUE)</formula>
    </cfRule>
    <cfRule type="expression" dxfId="50" priority="27" stopIfTrue="1">
      <formula>IF(AND(COUNTIF(MetalSmelter,B8&amp;C8)=0,LEN(C8)&gt;0), TRUE, FALSE)</formula>
    </cfRule>
  </conditionalFormatting>
  <conditionalFormatting sqref="C8:C35 C37:C77">
    <cfRule type="expression" dxfId="49" priority="26" stopIfTrue="1">
      <formula>IF(AND(B8&lt;&gt;"",C8=""),TRUE)</formula>
    </cfRule>
  </conditionalFormatting>
  <conditionalFormatting sqref="D8:D35 D37:D77">
    <cfRule type="expression" dxfId="48" priority="111" stopIfTrue="1">
      <formula>IF(AND(D8="",$C8=$U$4),TRUE)</formula>
    </cfRule>
    <cfRule type="expression" dxfId="47" priority="111" stopIfTrue="1">
      <formula>IF(FIND("!",D8),TRUE)</formula>
    </cfRule>
  </conditionalFormatting>
  <conditionalFormatting sqref="G8:G77">
    <cfRule type="expression" dxfId="46" priority="28" stopIfTrue="1">
      <formula>IF(FIND("Enter smelter details",G8),TRUE)</formula>
    </cfRule>
  </conditionalFormatting>
  <conditionalFormatting sqref="E8:E77">
    <cfRule type="expression" dxfId="45" priority="22" stopIfTrue="1">
      <formula>IF(AND(E8="",$C8=$U$4),TRUE)</formula>
    </cfRule>
    <cfRule type="expression" dxfId="44" priority="23" stopIfTrue="1">
      <formula>IF(FIND("!",E8),TRUE)</formula>
    </cfRule>
  </conditionalFormatting>
  <conditionalFormatting sqref="C5">
    <cfRule type="expression" dxfId="43" priority="19" stopIfTrue="1">
      <formula>IF(AND(C5="",$C5=$U$4),TRUE)</formula>
    </cfRule>
    <cfRule type="expression" dxfId="42" priority="20" stopIfTrue="1">
      <formula>IF(FIND("!",C5),TRUE)</formula>
    </cfRule>
  </conditionalFormatting>
  <conditionalFormatting sqref="C5">
    <cfRule type="expression" dxfId="41" priority="18" stopIfTrue="1">
      <formula>IF(AND(B5&lt;&gt;"",C5=""),TRUE)</formula>
    </cfRule>
  </conditionalFormatting>
  <conditionalFormatting sqref="C6">
    <cfRule type="expression" dxfId="40" priority="16" stopIfTrue="1">
      <formula>IF(AND(C6="",$C6=$U$4),TRUE)</formula>
    </cfRule>
    <cfRule type="expression" dxfId="39" priority="17" stopIfTrue="1">
      <formula>IF(FIND("!",C6),TRUE)</formula>
    </cfRule>
  </conditionalFormatting>
  <conditionalFormatting sqref="C6">
    <cfRule type="expression" dxfId="38" priority="15" stopIfTrue="1">
      <formula>IF(AND(B6&lt;&gt;"",C6=""),TRUE)</formula>
    </cfRule>
  </conditionalFormatting>
  <conditionalFormatting sqref="D6">
    <cfRule type="expression" dxfId="37" priority="13" stopIfTrue="1">
      <formula>IF(AND(D6="",$C6=$U$4),TRUE)</formula>
    </cfRule>
    <cfRule type="expression" dxfId="36" priority="14" stopIfTrue="1">
      <formula>IF(FIND("!",D6),TRUE)</formula>
    </cfRule>
  </conditionalFormatting>
  <conditionalFormatting sqref="D6">
    <cfRule type="expression" dxfId="35" priority="11" stopIfTrue="1">
      <formula>IF(AND(D6="",$C6=$U$4),TRUE)</formula>
    </cfRule>
    <cfRule type="expression" dxfId="34" priority="12" stopIfTrue="1">
      <formula>IF(FIND("!",D6),TRUE)</formula>
    </cfRule>
  </conditionalFormatting>
  <conditionalFormatting sqref="D5">
    <cfRule type="expression" dxfId="33" priority="9" stopIfTrue="1">
      <formula>IF(AND(D5="",$C5=$U$4),TRUE)</formula>
    </cfRule>
    <cfRule type="expression" dxfId="32" priority="10" stopIfTrue="1">
      <formula>IF(FIND("!",D5),TRUE)</formula>
    </cfRule>
  </conditionalFormatting>
  <conditionalFormatting sqref="D5">
    <cfRule type="expression" dxfId="31" priority="7" stopIfTrue="1">
      <formula>IF(AND(D5="",$C5=$U$4),TRUE)</formula>
    </cfRule>
    <cfRule type="expression" dxfId="30" priority="8" stopIfTrue="1">
      <formula>IF(FIND("!",D5),TRUE)</formula>
    </cfRule>
  </conditionalFormatting>
  <conditionalFormatting sqref="E5">
    <cfRule type="expression" dxfId="29" priority="5" stopIfTrue="1">
      <formula>IF(AND(E5="",$C5=$U$4),TRUE)</formula>
    </cfRule>
    <cfRule type="expression" dxfId="28" priority="6" stopIfTrue="1">
      <formula>IF(FIND("!",E5),TRUE)</formula>
    </cfRule>
  </conditionalFormatting>
  <conditionalFormatting sqref="F6">
    <cfRule type="expression" dxfId="27" priority="4" stopIfTrue="1">
      <formula>IF(FIND("Enter smelter details",F6),TRUE)</formula>
    </cfRule>
  </conditionalFormatting>
  <conditionalFormatting sqref="F5">
    <cfRule type="expression" dxfId="26" priority="3" stopIfTrue="1">
      <formula>IF(FIND("Enter smelter details",F5),TRUE)</formula>
    </cfRule>
  </conditionalFormatting>
  <conditionalFormatting sqref="G6">
    <cfRule type="expression" dxfId="25" priority="2" stopIfTrue="1">
      <formula>IF(FIND("Enter smelter details",G6),TRUE)</formula>
    </cfRule>
  </conditionalFormatting>
  <conditionalFormatting sqref="G5">
    <cfRule type="expression" dxfId="24" priority="1"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20" activePane="bottomRight" state="frozen"/>
      <selection activeCell="A4" sqref="A4"/>
      <selection pane="topRight" activeCell="A4" sqref="A4"/>
      <selection pane="bottomLeft" activeCell="A4" sqref="A4"/>
      <selection pane="bottomRight" activeCell="D56" sqref="D56"/>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Vincent Associates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Steven Inman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sinman@uniblitz.com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585-385-5930 ext.122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Stephen Pasquarella</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spasq@uniblitz.com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44229</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No</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www.uniblitz.com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921</v>
      </c>
      <c r="C4" s="450"/>
      <c r="D4" s="450"/>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2020 Responsible Minerals Initiative. All rights reserved.</v>
      </c>
      <c r="C1001" s="453"/>
      <c r="D1001" s="453"/>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433" activePane="bottomLeft" state="frozen"/>
      <selection activeCell="A4" sqref="A4"/>
      <selection pane="bottomLeft" activeCell="I439" sqref="I439"/>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Inman</cp:lastModifiedBy>
  <cp:lastPrinted>2015-04-21T20:47:43Z</cp:lastPrinted>
  <dcterms:created xsi:type="dcterms:W3CDTF">2010-06-21T21:00:23Z</dcterms:created>
  <dcterms:modified xsi:type="dcterms:W3CDTF">2021-03-10T14:03:08Z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