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showInkAnnotation="0" codeName="ThisWorkbook" autoCompressPictures="0"/>
  <mc:AlternateContent xmlns:mc="http://schemas.openxmlformats.org/markup-compatibility/2006">
    <mc:Choice Requires="x15">
      <x15ac:absPath xmlns:x15ac="http://schemas.microsoft.com/office/spreadsheetml/2010/11/ac" url="C:\Users\Alex\OneDrive\Downloads\"/>
    </mc:Choice>
  </mc:AlternateContent>
  <xr:revisionPtr revIDLastSave="0" documentId="13_ncr:1_{43B01650-4912-4C93-BF0F-1953D765D762}" xr6:coauthVersionLast="45" xr6:coauthVersionMax="45" xr10:uidLastSave="{00000000-0000-0000-0000-000000000000}"/>
  <workbookProtection workbookPassword="E31B" lockStructure="1"/>
  <bookViews>
    <workbookView xWindow="5790" yWindow="3300" windowWidth="17860" windowHeight="1528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43" i="6" l="1"/>
  <c r="B38" i="6"/>
  <c r="C13" i="6"/>
  <c r="C4" i="6"/>
  <c r="C12" i="6"/>
  <c r="C8" i="6"/>
  <c r="C7" i="6"/>
  <c r="C11" i="6"/>
  <c r="C10" i="6"/>
  <c r="C5" i="6"/>
  <c r="B33" i="6"/>
  <c r="B2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110" i="5"/>
  <c r="C102" i="5"/>
  <c r="B90" i="5"/>
  <c r="B87" i="5"/>
  <c r="B81" i="5"/>
  <c r="B79" i="5"/>
  <c r="B104" i="5"/>
  <c r="B101" i="5"/>
  <c r="C89" i="5"/>
  <c r="B88" i="5"/>
  <c r="B85" i="5"/>
  <c r="B106" i="5"/>
  <c r="C100" i="5"/>
  <c r="C94" i="5"/>
  <c r="B83" i="5"/>
  <c r="B82" i="5"/>
  <c r="C80" i="5"/>
  <c r="C105" i="5"/>
  <c r="C86" i="5"/>
  <c r="C84" i="5"/>
  <c r="C78"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G21" i="6"/>
  <c r="H21" i="6" s="1"/>
  <c r="B26" i="6"/>
  <c r="G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63" i="6" l="1"/>
  <c r="F41" i="6"/>
  <c r="H26" i="6"/>
  <c r="C26" i="6" s="1"/>
  <c r="H36" i="6"/>
  <c r="C36" i="6" s="1"/>
  <c r="H25" i="6"/>
  <c r="C25" i="6" s="1"/>
  <c r="H41" i="6"/>
  <c r="V57" i="5"/>
  <c r="R57" i="5" s="1"/>
  <c r="V541" i="5"/>
  <c r="F541" i="5" s="1"/>
  <c r="V73" i="5"/>
  <c r="R73" i="5" s="1"/>
  <c r="V33" i="5"/>
  <c r="V17" i="5"/>
  <c r="V468" i="5"/>
  <c r="E468" i="5" s="1"/>
  <c r="AB8" i="5"/>
  <c r="V28" i="5"/>
  <c r="AB67" i="5"/>
  <c r="AB23" i="5"/>
  <c r="AB35" i="5"/>
  <c r="V51" i="5"/>
  <c r="AB58" i="5"/>
  <c r="V64" i="5"/>
  <c r="AB83" i="5"/>
  <c r="AB10" i="5"/>
  <c r="V12" i="5"/>
  <c r="AB20" i="5"/>
  <c r="AB42" i="5"/>
  <c r="V61" i="5"/>
  <c r="AB101" i="5"/>
  <c r="V22" i="5"/>
  <c r="V6" i="5"/>
  <c r="V13" i="5"/>
  <c r="V18" i="5"/>
  <c r="AB24" i="5"/>
  <c r="V75" i="5"/>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V21" i="5"/>
  <c r="V26" i="5"/>
  <c r="AB32" i="5"/>
  <c r="V41" i="5"/>
  <c r="AB55" i="5"/>
  <c r="V63" i="5"/>
  <c r="AB76" i="5"/>
  <c r="V105" i="5"/>
  <c r="V27" i="5"/>
  <c r="AB33" i="5"/>
  <c r="AB37" i="5"/>
  <c r="V47" i="5"/>
  <c r="AB54" i="5"/>
  <c r="AB61" i="5"/>
  <c r="V70" i="5"/>
  <c r="V80" i="5"/>
  <c r="G80" i="5" s="1"/>
  <c r="V100" i="5"/>
  <c r="AB9" i="5"/>
  <c r="AB16" i="5"/>
  <c r="V30" i="5"/>
  <c r="V37" i="5"/>
  <c r="V46" i="5"/>
  <c r="V58" i="5"/>
  <c r="V68" i="5"/>
  <c r="AB88" i="5"/>
  <c r="AB5" i="5"/>
  <c r="V8" i="5"/>
  <c r="V9" i="5"/>
  <c r="V16" i="5"/>
  <c r="V20" i="5"/>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V44" i="5"/>
  <c r="AB52" i="5"/>
  <c r="V65" i="5"/>
  <c r="V72" i="5"/>
  <c r="V76" i="5"/>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V34" i="5"/>
  <c r="AB40" i="5"/>
  <c r="V48" i="5"/>
  <c r="V56" i="5"/>
  <c r="AB62" i="5"/>
  <c r="AB71" i="5"/>
  <c r="AB82" i="5"/>
  <c r="AB106" i="5"/>
  <c r="AB11" i="5"/>
  <c r="AB18" i="5"/>
  <c r="AB31" i="5"/>
  <c r="AB38" i="5"/>
  <c r="V50" i="5"/>
  <c r="AB60" i="5"/>
  <c r="AB69" i="5"/>
  <c r="V89" i="5"/>
  <c r="V15" i="5"/>
  <c r="V10" i="5"/>
  <c r="V11" i="5"/>
  <c r="AB17" i="5"/>
  <c r="AB21" i="5"/>
  <c r="V31" i="5"/>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V67" i="5"/>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AB36" i="5"/>
  <c r="V49" i="5"/>
  <c r="V84" i="5"/>
  <c r="AB30" i="5"/>
  <c r="V43" i="5"/>
  <c r="V53" i="5"/>
  <c r="AB74" i="5"/>
  <c r="V38" i="5"/>
  <c r="AB90" i="5"/>
  <c r="V87" i="5"/>
  <c r="AB105" i="5"/>
  <c r="V123" i="5"/>
  <c r="G123" i="5" s="1"/>
  <c r="V140" i="5"/>
  <c r="G140" i="5" s="1"/>
  <c r="V151" i="5"/>
  <c r="G151" i="5" s="1"/>
  <c r="V175" i="5"/>
  <c r="AB180" i="5"/>
  <c r="AB120" i="5"/>
  <c r="V137" i="5"/>
  <c r="V174" i="5"/>
  <c r="G174" i="5" s="1"/>
  <c r="V62" i="5"/>
  <c r="V74" i="5"/>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V99" i="5"/>
  <c r="G99" i="5" s="1"/>
  <c r="AB116" i="5"/>
  <c r="AB134" i="5"/>
  <c r="AB158" i="5"/>
  <c r="AB169" i="5"/>
  <c r="V132" i="5"/>
  <c r="AB154" i="5"/>
  <c r="V166" i="5"/>
  <c r="G166" i="5" s="1"/>
  <c r="V42" i="5"/>
  <c r="V69" i="5"/>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V19" i="5"/>
  <c r="AB25" i="5"/>
  <c r="AB29" i="5"/>
  <c r="V39" i="5"/>
  <c r="AB51" i="5"/>
  <c r="AB59" i="5"/>
  <c r="AB72" i="5"/>
  <c r="V86" i="5"/>
  <c r="V25" i="5"/>
  <c r="V32" i="5"/>
  <c r="V36" i="5"/>
  <c r="AB46" i="5"/>
  <c r="AB53" i="5"/>
  <c r="V59" i="5"/>
  <c r="AB66" i="5"/>
  <c r="V77" i="5"/>
  <c r="V94" i="5"/>
  <c r="G94" i="5" s="1"/>
  <c r="V5" i="5"/>
  <c r="AB13" i="5"/>
  <c r="V23" i="5"/>
  <c r="V35" i="5"/>
  <c r="V45" i="5"/>
  <c r="V54" i="5"/>
  <c r="V66" i="5"/>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25" i="6" l="1"/>
  <c r="D35" i="6"/>
  <c r="C35" i="6"/>
  <c r="I541" i="5"/>
  <c r="G541" i="5"/>
  <c r="E541" i="5"/>
  <c r="H541" i="5"/>
  <c r="R541" i="5"/>
  <c r="F468" i="5"/>
  <c r="J541" i="5"/>
  <c r="R33" i="5"/>
  <c r="R17" i="5"/>
  <c r="X73" i="5"/>
  <c r="J468" i="5"/>
  <c r="H468" i="5"/>
  <c r="R468" i="5"/>
  <c r="G468" i="5"/>
  <c r="I468"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R35" i="5"/>
  <c r="E86" i="5"/>
  <c r="H86" i="5"/>
  <c r="R86" i="5"/>
  <c r="I86" i="5"/>
  <c r="J86" i="5"/>
  <c r="F86" i="5"/>
  <c r="R39" i="5"/>
  <c r="R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R25" i="5"/>
  <c r="H255" i="5"/>
  <c r="R255" i="5"/>
  <c r="F255" i="5"/>
  <c r="J255" i="5"/>
  <c r="E255" i="5"/>
  <c r="I255" i="5"/>
  <c r="R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R23" i="5"/>
  <c r="E94" i="5"/>
  <c r="H94" i="5"/>
  <c r="R94" i="5"/>
  <c r="I94" i="5"/>
  <c r="J94" i="5"/>
  <c r="F94" i="5"/>
  <c r="G86" i="5"/>
  <c r="R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R5" i="5"/>
  <c r="H227" i="5"/>
  <c r="I227" i="5"/>
  <c r="R227" i="5"/>
  <c r="F227" i="5"/>
  <c r="J227" i="5"/>
  <c r="E227" i="5"/>
  <c r="R280" i="5"/>
  <c r="H280" i="5"/>
  <c r="F280" i="5"/>
  <c r="J280" i="5"/>
  <c r="I280" i="5"/>
  <c r="E280" i="5"/>
  <c r="H132" i="5"/>
  <c r="E132" i="5"/>
  <c r="R132" i="5"/>
  <c r="F132" i="5"/>
  <c r="I132" i="5"/>
  <c r="J132" i="5"/>
  <c r="G132" i="5"/>
  <c r="R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R54" i="5"/>
  <c r="R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R66" i="5"/>
  <c r="R45" i="5"/>
  <c r="R59" i="5"/>
  <c r="R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R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R53" i="5"/>
  <c r="R43" i="5"/>
  <c r="R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R50" i="5"/>
  <c r="R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R76" i="5"/>
  <c r="E142" i="5"/>
  <c r="R142" i="5"/>
  <c r="H142" i="5"/>
  <c r="I142" i="5"/>
  <c r="J142" i="5"/>
  <c r="F142" i="5"/>
  <c r="H184" i="5"/>
  <c r="E184" i="5"/>
  <c r="R184" i="5"/>
  <c r="I184" i="5"/>
  <c r="J184" i="5"/>
  <c r="F184" i="5"/>
  <c r="R119" i="5"/>
  <c r="I119" i="5"/>
  <c r="F119" i="5"/>
  <c r="H119" i="5"/>
  <c r="J119" i="5"/>
  <c r="E119" i="5"/>
  <c r="R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R13" i="5"/>
  <c r="R22" i="5"/>
  <c r="R64" i="5"/>
  <c r="R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R62" i="5"/>
  <c r="I123" i="5"/>
  <c r="R123" i="5"/>
  <c r="J123" i="5"/>
  <c r="E123" i="5"/>
  <c r="H123" i="5"/>
  <c r="F123" i="5"/>
  <c r="R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R55" i="5"/>
  <c r="H148" i="5"/>
  <c r="E148" i="5"/>
  <c r="R148" i="5"/>
  <c r="F148" i="5"/>
  <c r="J148" i="5"/>
  <c r="I148" i="5"/>
  <c r="R156" i="5"/>
  <c r="H156" i="5"/>
  <c r="E156" i="5"/>
  <c r="F156" i="5"/>
  <c r="J156" i="5"/>
  <c r="I156" i="5"/>
  <c r="R127" i="5"/>
  <c r="H127" i="5"/>
  <c r="E127" i="5"/>
  <c r="F127" i="5"/>
  <c r="I127" i="5"/>
  <c r="J127" i="5"/>
  <c r="R92" i="5"/>
  <c r="H92" i="5"/>
  <c r="E92" i="5"/>
  <c r="F92" i="5"/>
  <c r="J92" i="5"/>
  <c r="I92" i="5"/>
  <c r="R31" i="5"/>
  <c r="R11" i="5"/>
  <c r="R56" i="5"/>
  <c r="R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R72" i="5"/>
  <c r="I155" i="5"/>
  <c r="R155" i="5"/>
  <c r="H155" i="5"/>
  <c r="E155" i="5"/>
  <c r="F155" i="5"/>
  <c r="J155" i="5"/>
  <c r="I91" i="5"/>
  <c r="R91" i="5"/>
  <c r="H91" i="5"/>
  <c r="E91" i="5"/>
  <c r="J91" i="5"/>
  <c r="F91" i="5"/>
  <c r="E110" i="5"/>
  <c r="H110" i="5"/>
  <c r="R110" i="5"/>
  <c r="I110" i="5"/>
  <c r="J110" i="5"/>
  <c r="F110" i="5"/>
  <c r="R60" i="5"/>
  <c r="R9" i="5"/>
  <c r="R58" i="5"/>
  <c r="R37" i="5"/>
  <c r="R70" i="5"/>
  <c r="R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R61" i="5"/>
  <c r="R12"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R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R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R20" i="5"/>
  <c r="R8" i="5"/>
  <c r="G100" i="5"/>
  <c r="R47" i="5"/>
  <c r="R27" i="5"/>
  <c r="R63"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R18" i="5"/>
  <c r="R6" i="5"/>
  <c r="R51" i="5"/>
  <c r="R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R74" i="5"/>
  <c r="R140" i="5"/>
  <c r="H140" i="5"/>
  <c r="E140" i="5"/>
  <c r="F140" i="5"/>
  <c r="J140" i="5"/>
  <c r="I140" i="5"/>
  <c r="R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R10" i="5"/>
  <c r="G89" i="5"/>
  <c r="R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R65" i="5"/>
  <c r="R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R68" i="5"/>
  <c r="R46" i="5"/>
  <c r="R30" i="5"/>
  <c r="R80" i="5"/>
  <c r="E80" i="5"/>
  <c r="H80" i="5"/>
  <c r="J80" i="5"/>
  <c r="I80" i="5"/>
  <c r="F80" i="5"/>
  <c r="G105" i="5"/>
  <c r="R26" i="5"/>
  <c r="R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T350" i="5"/>
  <c r="T204" i="5"/>
  <c r="T149" i="5"/>
  <c r="T457" i="5"/>
  <c r="T220" i="5"/>
  <c r="T173" i="5"/>
  <c r="T77" i="5"/>
  <c r="T524" i="5"/>
  <c r="T536" i="5"/>
  <c r="T450" i="5"/>
  <c r="T471" i="5"/>
  <c r="T404" i="5"/>
  <c r="T272" i="5"/>
  <c r="T124" i="5"/>
  <c r="T574" i="5"/>
  <c r="T412" i="5"/>
  <c r="T562" i="5"/>
  <c r="T147"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78" i="5"/>
  <c r="T403" i="5"/>
  <c r="T538" i="5"/>
  <c r="T278" i="5"/>
  <c r="T189" i="5"/>
  <c r="T91" i="5"/>
  <c r="T37"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161" i="5"/>
  <c r="T46"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T526" i="5"/>
  <c r="T502" i="5"/>
  <c r="T510" i="5"/>
  <c r="T479" i="5"/>
  <c r="T372" i="5"/>
  <c r="T504" i="5"/>
  <c r="T438" i="5"/>
  <c r="T407" i="5"/>
  <c r="T264" i="5"/>
  <c r="T221" i="5"/>
  <c r="T281" i="5"/>
  <c r="T100" i="5"/>
  <c r="T219" i="5"/>
  <c r="T195"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T366" i="5"/>
  <c r="T525" i="5"/>
  <c r="T199" i="5"/>
  <c r="T231" i="5"/>
  <c r="T280" i="5"/>
  <c r="T132" i="5"/>
  <c r="T551" i="5"/>
  <c r="T435" i="5"/>
  <c r="T568" i="5"/>
  <c r="S468" i="5"/>
  <c r="T273" i="5"/>
  <c r="T426" i="5"/>
  <c r="T533" i="5"/>
  <c r="T120" i="5"/>
  <c r="T405" i="5"/>
  <c r="T557" i="5"/>
  <c r="T429" i="5"/>
  <c r="T411" i="5"/>
  <c r="T388" i="5"/>
  <c r="T237" i="5"/>
  <c r="T171" i="5"/>
  <c r="T59" i="5"/>
  <c r="T36" i="5"/>
  <c r="T245" i="5"/>
  <c r="T476" i="5"/>
  <c r="T440" i="5"/>
  <c r="T137" i="5"/>
  <c r="T427" i="5"/>
  <c r="T239" i="5"/>
  <c r="T261" i="5"/>
  <c r="T43" i="5"/>
  <c r="T540" i="5"/>
  <c r="T487" i="5"/>
  <c r="T373" i="5"/>
  <c r="T408" i="5"/>
  <c r="T482" i="5"/>
  <c r="T249" i="5"/>
  <c r="T234" i="5"/>
  <c r="T279" i="5"/>
  <c r="T117" i="5"/>
  <c r="T48" i="5"/>
  <c r="T453" i="5"/>
  <c r="T183"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282" i="5"/>
  <c r="T236" i="5"/>
  <c r="T193" i="5"/>
  <c r="T170" i="5"/>
  <c r="T166" i="5"/>
  <c r="T38" i="5"/>
  <c r="T566" i="5"/>
  <c r="T506" i="5"/>
  <c r="T126" i="5"/>
  <c r="T520" i="5"/>
  <c r="T486" i="5"/>
  <c r="T387" i="5"/>
  <c r="T246" i="5"/>
  <c r="T243" i="5"/>
  <c r="T134" i="5"/>
  <c r="T114" i="5"/>
  <c r="T97" i="5"/>
  <c r="T26" i="5"/>
  <c r="T169" i="5"/>
  <c r="T178" i="5"/>
  <c r="T11" i="5"/>
  <c r="T8" i="5"/>
  <c r="T10" i="5"/>
  <c r="T61" i="5"/>
  <c r="T41" i="5"/>
  <c r="T14" i="5"/>
  <c r="T5" i="5"/>
  <c r="S57" i="5"/>
  <c r="T44" i="5"/>
  <c r="T15" i="5"/>
  <c r="T9" i="5"/>
  <c r="T6" i="5"/>
  <c r="T17" i="5"/>
  <c r="T7" i="5"/>
  <c r="T64" i="5"/>
  <c r="T69" i="5"/>
  <c r="S33" i="5"/>
  <c r="T71" i="5"/>
  <c r="T13" i="5"/>
  <c r="T72" i="5"/>
  <c r="T76" i="5"/>
  <c r="S73" i="5"/>
  <c r="T56" i="5"/>
  <c r="T63" i="5"/>
  <c r="T66" i="5"/>
  <c r="S17" i="5"/>
  <c r="T57" i="5"/>
  <c r="H64" i="6" l="1"/>
  <c r="D64" i="6" s="1"/>
  <c r="C64" i="6"/>
  <c r="C63" i="6"/>
  <c r="C62"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34" i="5"/>
  <c r="S487" i="5"/>
  <c r="S434" i="5"/>
  <c r="S371" i="5"/>
  <c r="S511" i="5"/>
  <c r="S113" i="5"/>
  <c r="S116" i="5"/>
  <c r="S255" i="5"/>
  <c r="S131" i="5"/>
  <c r="S169" i="5"/>
  <c r="S452" i="5"/>
  <c r="S436" i="5"/>
  <c r="S213" i="5"/>
  <c r="S352" i="5"/>
  <c r="S496" i="5"/>
  <c r="S530" i="5"/>
  <c r="S274" i="5"/>
  <c r="S505" i="5"/>
  <c r="S509" i="5"/>
  <c r="S115" i="5"/>
  <c r="S12" i="5"/>
  <c r="S70" i="5"/>
  <c r="S91" i="5"/>
  <c r="S125" i="5"/>
  <c r="S258" i="5"/>
  <c r="S402" i="5"/>
  <c r="S403" i="5"/>
  <c r="S515" i="5"/>
  <c r="S374" i="5"/>
  <c r="S219" i="5"/>
  <c r="S407" i="5"/>
  <c r="S516" i="5"/>
  <c r="S372" i="5"/>
  <c r="S510" i="5"/>
  <c r="S349" i="5"/>
  <c r="S563" i="5"/>
  <c r="S517" i="5"/>
  <c r="S187" i="5"/>
  <c r="S85" i="5"/>
  <c r="S388" i="5"/>
  <c r="S463" i="5"/>
  <c r="S185" i="5"/>
  <c r="S573" i="5"/>
  <c r="S577" i="5"/>
  <c r="S564" i="5"/>
  <c r="S147" i="5"/>
  <c r="S412" i="5"/>
  <c r="S109" i="5"/>
  <c r="S441" i="5"/>
  <c r="S484" i="5"/>
  <c r="S52" i="5"/>
  <c r="S458" i="5"/>
  <c r="S204" i="5"/>
  <c r="S186" i="5"/>
  <c r="S157" i="5"/>
  <c r="S178" i="5"/>
  <c r="S442" i="5"/>
  <c r="S486" i="5"/>
  <c r="S270" i="5"/>
  <c r="S549" i="5"/>
  <c r="S534" i="5"/>
  <c r="S79" i="5"/>
  <c r="S201" i="5"/>
  <c r="S420" i="5"/>
  <c r="S146" i="5"/>
  <c r="S110" i="5"/>
  <c r="S356" i="5"/>
  <c r="S432" i="5"/>
  <c r="S202" i="5"/>
  <c r="S218" i="5"/>
  <c r="S535" i="5"/>
  <c r="S206" i="5"/>
  <c r="S268" i="5"/>
  <c r="S119" i="5"/>
  <c r="S375" i="5"/>
  <c r="S48" i="5"/>
  <c r="S190" i="5"/>
  <c r="S203" i="5"/>
  <c r="S427" i="5"/>
  <c r="S235" i="5"/>
  <c r="S251" i="5"/>
  <c r="S382" i="5"/>
  <c r="S429" i="5"/>
  <c r="S481" i="5"/>
  <c r="S362" i="5"/>
  <c r="S414" i="5"/>
  <c r="S271" i="5"/>
  <c r="S480" i="5"/>
  <c r="S361" i="5"/>
  <c r="S553" i="5"/>
  <c r="S124" i="5"/>
  <c r="S267" i="5"/>
  <c r="S421" i="5"/>
  <c r="S385" i="5"/>
  <c r="S483" i="5"/>
  <c r="S173" i="5"/>
  <c r="S19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8" i="5"/>
  <c r="S194" i="5"/>
  <c r="S257" i="5"/>
  <c r="S571" i="5"/>
  <c r="S167" i="5"/>
  <c r="S253" i="5"/>
  <c r="S93" i="5"/>
  <c r="S386" i="5"/>
  <c r="S506" i="5"/>
  <c r="S364" i="5"/>
  <c r="S92" i="5"/>
  <c r="S357" i="5"/>
  <c r="S560" i="5"/>
  <c r="S281" i="5"/>
  <c r="S395" i="5"/>
  <c r="S460" i="5"/>
  <c r="S239" i="5"/>
  <c r="S445" i="5"/>
  <c r="S276" i="5"/>
  <c r="S527" i="5"/>
  <c r="S199" i="5"/>
  <c r="S384" i="5"/>
  <c r="S572" i="5"/>
  <c r="S126" i="5"/>
  <c r="S365" i="5"/>
  <c r="S140" i="5"/>
  <c r="S489" i="5"/>
  <c r="S166" i="5"/>
  <c r="S170" i="5"/>
  <c r="S391" i="5"/>
  <c r="S533" i="5"/>
  <c r="S426" i="5"/>
  <c r="S525" i="5"/>
  <c r="S136" i="5"/>
  <c r="S536" i="5"/>
  <c r="S350" i="5"/>
  <c r="S546" i="5"/>
  <c r="S540" i="5"/>
  <c r="S358" i="5"/>
  <c r="S366" i="5"/>
  <c r="S180" i="5"/>
  <c r="S88" i="5"/>
  <c r="S379" i="5"/>
  <c r="S472" i="5"/>
  <c r="S492" i="5"/>
  <c r="S585" i="5"/>
  <c r="S98" i="5"/>
  <c r="S156" i="5"/>
  <c r="S176" i="5"/>
  <c r="S102" i="5"/>
  <c r="S555" i="5"/>
  <c r="S144" i="5"/>
  <c r="S111" i="5"/>
  <c r="S523" i="5"/>
  <c r="S217" i="5"/>
  <c r="S576" i="5"/>
  <c r="S100" i="5"/>
  <c r="S225" i="5"/>
  <c r="S256" i="5"/>
  <c r="S482" i="5"/>
  <c r="S440" i="5"/>
  <c r="S411" i="5"/>
  <c r="S557" i="5"/>
  <c r="S405" i="5"/>
  <c r="S269" i="5"/>
  <c r="S435" i="5"/>
  <c r="S272" i="5"/>
  <c r="S471" i="5"/>
  <c r="S552" i="5"/>
  <c r="S163" i="5"/>
  <c r="S579" i="5"/>
  <c r="S179" i="5"/>
  <c r="S252" i="5"/>
  <c r="S390" i="5"/>
  <c r="S485" i="5"/>
  <c r="S223" i="5"/>
  <c r="S448" i="5"/>
  <c r="S117" i="5"/>
  <c r="S373" i="5"/>
  <c r="S209" i="5"/>
  <c r="S475" i="5"/>
  <c r="S121" i="5"/>
  <c r="S273" i="5"/>
  <c r="S556" i="5"/>
  <c r="S159" i="5"/>
  <c r="S454" i="5"/>
  <c r="S220" i="5"/>
  <c r="S499" i="5"/>
  <c r="S248" i="5"/>
  <c r="S447" i="5"/>
  <c r="S104" i="5"/>
  <c r="S507" i="5"/>
  <c r="S99" i="5"/>
  <c r="S97" i="5"/>
  <c r="S243" i="5"/>
  <c r="S406" i="5"/>
  <c r="S399" i="5"/>
  <c r="S418" i="5"/>
  <c r="S469" i="5"/>
  <c r="S498" i="5"/>
  <c r="S566" i="5"/>
  <c r="S193" i="5"/>
  <c r="S232" i="5"/>
  <c r="S182" i="5"/>
  <c r="S244" i="5"/>
  <c r="S205" i="5"/>
  <c r="S459" i="5"/>
  <c r="S123" i="5"/>
  <c r="S242" i="5"/>
  <c r="S532" i="5"/>
  <c r="S238" i="5"/>
  <c r="S53" i="5"/>
  <c r="S476" i="5"/>
  <c r="S500" i="5"/>
  <c r="S531" i="5"/>
  <c r="S568" i="5"/>
  <c r="S134" i="5"/>
  <c r="S101" i="5"/>
  <c r="S462" i="5"/>
  <c r="S211" i="5"/>
  <c r="S578" i="5"/>
  <c r="S27" i="5"/>
  <c r="S351" i="5"/>
  <c r="S542" i="5"/>
  <c r="S145" i="5"/>
  <c r="S181" i="5"/>
  <c r="S165" i="5"/>
  <c r="S216" i="5"/>
  <c r="S212" i="5"/>
  <c r="S383" i="5"/>
  <c r="S56" i="5"/>
  <c r="S491"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133" i="5"/>
  <c r="S14" i="5"/>
  <c r="S161" i="5"/>
  <c r="S387" i="5"/>
  <c r="S141" i="5"/>
  <c r="S378" i="5"/>
  <c r="S380" i="5"/>
  <c r="S236" i="5"/>
  <c r="S143" i="5"/>
  <c r="S196" i="5"/>
  <c r="S254" i="5"/>
  <c r="S266" i="5"/>
  <c r="S278" i="5"/>
  <c r="S363" i="5"/>
  <c r="S127" i="5"/>
  <c r="S477" i="5"/>
  <c r="S575" i="5"/>
  <c r="S89" i="5"/>
  <c r="S154" i="5"/>
  <c r="S263" i="5"/>
  <c r="S467" i="5"/>
  <c r="S222" i="5"/>
  <c r="S430" i="5"/>
  <c r="S423" i="5"/>
  <c r="S84" i="5"/>
  <c r="S282" i="5"/>
  <c r="S81" i="5"/>
  <c r="S208" i="5"/>
  <c r="S189" i="5"/>
  <c r="S490" i="5"/>
  <c r="S228" i="5"/>
  <c r="S416" i="5"/>
  <c r="S142" i="5"/>
  <c r="S264" i="5"/>
  <c r="S192" i="5"/>
  <c r="S422" i="5"/>
  <c r="S137" i="5"/>
  <c r="S214" i="5"/>
  <c r="S389" i="5"/>
  <c r="S83" i="5"/>
  <c r="S175" i="5"/>
  <c r="S393" i="5"/>
  <c r="S488" i="5"/>
  <c r="S439" i="5"/>
  <c r="S512" i="5"/>
  <c r="S149" i="5"/>
  <c r="S200" i="5"/>
  <c r="S520" i="5"/>
  <c r="S197" i="5"/>
  <c r="S370" i="5"/>
  <c r="S26" i="5"/>
  <c r="S160" i="5"/>
  <c r="S246" i="5"/>
  <c r="S353" i="5"/>
  <c r="S29" i="5"/>
  <c r="S455" i="5"/>
  <c r="S537" i="5"/>
  <c r="S108" i="5"/>
  <c r="S443" i="5"/>
  <c r="S265" i="5"/>
  <c r="S355" i="5"/>
  <c r="S431" i="5"/>
  <c r="S544" i="5"/>
  <c r="S543" i="5"/>
  <c r="S360" i="5"/>
  <c r="S461"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172" i="5"/>
  <c r="S494" i="5"/>
  <c r="S224" i="5"/>
  <c r="S425" i="5"/>
  <c r="S396" i="5"/>
  <c r="S183" i="5"/>
  <c r="S249" i="5"/>
  <c r="S548" i="5"/>
  <c r="S545" i="5"/>
  <c r="S495" i="5"/>
  <c r="S404" i="5"/>
  <c r="S518" i="5"/>
  <c r="S20" i="5"/>
  <c r="S5" i="5"/>
  <c r="S43" i="5"/>
  <c r="S64" i="5"/>
  <c r="S76" i="5"/>
  <c r="S31" i="5"/>
  <c r="S41" i="5"/>
  <c r="S65" i="5"/>
  <c r="S9" i="5"/>
  <c r="S69" i="5"/>
  <c r="S15" i="5"/>
  <c r="S32" i="5"/>
  <c r="S38" i="5"/>
  <c r="S47" i="5"/>
  <c r="S51" i="5"/>
  <c r="S24" i="5"/>
  <c r="S50" i="5"/>
  <c r="S77" i="5"/>
  <c r="S21" i="5"/>
  <c r="S46" i="5"/>
  <c r="S35" i="5"/>
  <c r="S36" i="5"/>
  <c r="S22" i="5"/>
  <c r="S74" i="5"/>
  <c r="S49" i="5"/>
  <c r="S23" i="5"/>
  <c r="S67" i="5"/>
  <c r="S42" i="5"/>
  <c r="S59" i="5"/>
  <c r="S13" i="5"/>
  <c r="S55" i="5"/>
  <c r="S66" i="5"/>
  <c r="S54" i="5"/>
  <c r="S25" i="5"/>
  <c r="S39" i="5"/>
  <c r="S19" i="5"/>
  <c r="S44" i="5"/>
  <c r="S68" i="5"/>
  <c r="S62" i="5"/>
  <c r="S71" i="5"/>
  <c r="S40" i="5"/>
  <c r="S10" i="5"/>
  <c r="S11" i="5"/>
  <c r="S61" i="5"/>
  <c r="S34" i="5"/>
  <c r="S72" i="5"/>
  <c r="S45" i="5"/>
  <c r="S75" i="5"/>
  <c r="S8" i="5"/>
  <c r="S60" i="5"/>
  <c r="S18" i="5"/>
  <c r="S7" i="5"/>
  <c r="S63" i="5"/>
  <c r="S6" i="5"/>
  <c r="S30" i="5"/>
  <c r="S37" i="5"/>
  <c r="S16" i="5"/>
  <c r="S58" i="5"/>
  <c r="H66" i="6" l="1"/>
  <c r="H67" i="6" s="1"/>
  <c r="D2" i="6" s="1"/>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<sst xmlns="http://schemas.openxmlformats.org/spreadsheetml/2006/main" count="22199" uniqueCount="15565">
  <si>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</si>
  <si>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</si>
  <si>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</si>
  <si>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</si>
  <si>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</si>
  <si>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</si>
  <si>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</si>
  <si>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</si>
  <si>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</si>
  <si>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</si>
  <si>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</si>
  <si>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</si>
  <si>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</si>
  <si>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</si>
  <si>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</si>
  <si>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</si>
  <si>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</si>
  <si>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</si>
  <si>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</si>
  <si>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</si>
  <si>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</si>
  <si>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</si>
  <si>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</si>
  <si>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</si>
  <si>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</si>
  <si>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</si>
  <si>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</si>
  <si>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</si>
  <si>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</si>
  <si>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</si>
  <si>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</si>
  <si>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</si>
  <si>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</si>
  <si>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</si>
  <si>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</si>
  <si>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</si>
  <si>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</si>
  <si>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</si>
  <si>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</si>
  <si>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</si>
  <si>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</si>
  <si>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</si>
  <si>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</si>
  <si>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</si>
  <si>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</si>
  <si>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</si>
  <si>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</si>
  <si>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</si>
  <si>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</si>
  <si>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</si>
  <si>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</si>
  <si>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</si>
  <si>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</si>
  <si>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</si>
  <si>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</si>
  <si>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</si>
  <si>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</si>
  <si>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</si>
  <si>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</si>
  <si>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</si>
  <si>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</si>
  <si>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</si>
  <si>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</si>
  <si>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</si>
  <si>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</si>
  <si>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</si>
  <si>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</si>
  <si>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</si>
  <si>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</si>
  <si>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</si>
  <si>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</si>
  <si>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</si>
  <si>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</si>
  <si>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</si>
  <si>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</si>
  <si>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</si>
  <si>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</si>
  <si>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</si>
  <si>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</si>
  <si>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</si>
  <si>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</si>
  <si>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</si>
  <si>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</si>
  <si>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</si>
  <si>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</si>
  <si>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</si>
  <si>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</si>
  <si>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</si>
  <si>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</si>
  <si>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</si>
  <si>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</si>
  <si>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</si>
  <si>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</si>
  <si>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</si>
  <si>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</si>
  <si>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</si>
  <si>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</si>
  <si>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</si>
  <si>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</si>
  <si>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</si>
  <si>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</si>
  <si>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</si>
  <si>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</si>
  <si>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</si>
  <si>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</si>
  <si>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</si>
  <si>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</si>
  <si>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</si>
  <si>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</si>
  <si>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</si>
  <si>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</si>
  <si>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</si>
  <si>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</si>
  <si>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</si>
  <si>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</si>
  <si>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</si>
  <si>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</si>
  <si>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</si>
  <si>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</si>
  <si>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</si>
  <si>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</si>
  <si>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</si>
  <si>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</si>
  <si>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</si>
  <si>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</si>
  <si>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</si>
  <si>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</si>
  <si>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</si>
  <si>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</si>
  <si>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</si>
  <si>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</si>
  <si>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</si>
  <si>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</si>
  <si>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</si>
  <si>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</si>
  <si>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</si>
  <si>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</si>
  <si>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</si>
  <si>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</si>
  <si>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</si>
  <si>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</si>
  <si>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</si>
  <si>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</si>
  <si>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</si>
  <si>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</si>
  <si>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</si>
  <si>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</si>
  <si>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</si>
  <si>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</si>
  <si>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</si>
  <si>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</si>
  <si>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</si>
  <si>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</si>
  <si>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</si>
  <si>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</si>
  <si>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</si>
  <si>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</si>
  <si>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</si>
  <si>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</si>
  <si>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</si>
  <si>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</si>
  <si>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</si>
  <si>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</si>
  <si>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</si>
  <si>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</si>
  <si>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</si>
  <si>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</si>
  <si>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</si>
  <si>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</si>
  <si>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</si>
  <si>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</si>
  <si>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</si>
  <si>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</si>
  <si>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</si>
  <si>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</si>
  <si>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</si>
  <si>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</si>
  <si>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</si>
  <si>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</si>
  <si>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</si>
  <si>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</si>
  <si>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</si>
  <si>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</si>
  <si>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</si>
  <si>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</si>
  <si>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</si>
  <si>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</si>
  <si>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</si>
  <si>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</si>
  <si>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</si>
  <si>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</si>
  <si>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</si>
  <si>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</si>
  <si>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</si>
  <si>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</si>
  <si>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</si>
  <si>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</si>
  <si>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</si>
  <si>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</si>
  <si>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</si>
  <si>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</si>
  <si>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</si>
  <si>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</si>
  <si>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</si>
  <si>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</si>
  <si>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</si>
  <si>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</si>
  <si>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</si>
  <si>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</si>
  <si>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</si>
  <si>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</si>
  <si>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</si>
  <si>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</si>
  <si>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</si>
  <si>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</si>
  <si>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</si>
  <si>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</si>
  <si>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</si>
  <si>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</si>
  <si>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</si>
  <si>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</si>
  <si>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</si>
  <si>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</si>
  <si>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</si>
  <si>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</si>
  <si>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</si>
  <si>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</si>
  <si>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</si>
  <si>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</si>
  <si>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</si>
  <si>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</si>
  <si>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</si>
  <si>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</si>
  <si>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</si>
  <si>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</si>
  <si>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</si>
  <si>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</si>
  <si>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</si>
  <si>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</si>
  <si>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</si>
  <si>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</si>
  <si>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</si>
  <si>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</si>
  <si>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</si>
  <si>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</si>
  <si>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</si>
  <si>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</si>
  <si>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</si>
  <si>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</si>
  <si>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</si>
  <si>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</si>
  <si>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</si>
  <si>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</si>
  <si>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</si>
  <si>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</si>
  <si>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</si>
  <si>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</si>
  <si>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</si>
  <si>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</si>
  <si>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</si>
  <si>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</si>
  <si>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</si>
  <si>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</si>
  <si>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</si>
  <si>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</si>
  <si>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</si>
  <si>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</si>
  <si>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</si>
  <si>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</si>
  <si>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</si>
  <si>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</si>
  <si>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</si>
  <si>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</si>
  <si>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</si>
  <si>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</si>
  <si>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</si>
  <si>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</si>
  <si>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</si>
  <si>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</si>
  <si>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</si>
  <si>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</si>
  <si>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</si>
  <si>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</si>
  <si>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</si>
  <si>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</si>
  <si>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</si>
  <si>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</si>
  <si>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</si>
  <si>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</si>
  <si>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</si>
  <si>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</si>
  <si>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</si>
  <si>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</si>
  <si>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</si>
  <si>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</si>
  <si>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</si>
  <si>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</si>
  <si>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</si>
  <si>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</si>
  <si>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</si>
  <si>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</si>
  <si>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</si>
  <si>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</si>
  <si>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</si>
  <si>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</si>
  <si>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</si>
  <si>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</si>
  <si>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</si>
  <si>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</si>
  <si>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</si>
  <si>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</si>
  <si>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</si>
  <si>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</si>
  <si>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</si>
  <si>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</si>
  <si>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</si>
  <si>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</si>
  <si>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</si>
  <si>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</si>
  <si>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</si>
  <si>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</si>
  <si>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</si>
  <si>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</si>
  <si>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</si>
  <si>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</si>
  <si>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</si>
  <si>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</si>
  <si>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</si>
  <si>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</si>
  <si>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</si>
  <si>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</si>
  <si>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</si>
  <si>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</si>
  <si>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</si>
  <si>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</si>
  <si>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</si>
  <si>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</si>
  <si>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</si>
  <si>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</si>
  <si>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</si>
  <si>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</si>
  <si>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</si>
  <si>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</si>
  <si>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</si>
  <si>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</si>
  <si>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</si>
  <si>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</si>
  <si>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</si>
  <si>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</si>
  <si>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</si>
  <si>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</si>
  <si>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</si>
  <si>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</si>
  <si>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</si>
  <si>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</si>
  <si>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</si>
  <si>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</si>
  <si>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</si>
  <si>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</si>
  <si>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</si>
  <si>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</si>
  <si>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</si>
  <si>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</si>
  <si>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</si>
  <si>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</si>
  <si>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</si>
  <si>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</si>
  <si>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</si>
  <si>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</si>
  <si>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</si>
  <si>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</si>
  <si>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</si>
  <si>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</si>
  <si>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</si>
  <si>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</si>
  <si>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</si>
  <si>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</si>
  <si>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</si>
  <si>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</si>
  <si>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</si>
  <si>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</si>
  <si>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</si>
  <si>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</si>
  <si>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</si>
  <si>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</si>
  <si>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</si>
  <si>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</si>
  <si>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</si>
  <si>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</si>
  <si>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</si>
  <si>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</si>
  <si>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</si>
  <si>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</si>
  <si>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</si>
  <si>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</si>
  <si>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</si>
  <si>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</si>
  <si>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</si>
  <si>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</si>
  <si>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</si>
  <si>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</si>
  <si>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</si>
  <si>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</si>
  <si>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</si>
  <si>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</si>
  <si>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</si>
  <si>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</si>
  <si>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</si>
  <si>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</si>
  <si>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</si>
  <si>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</si>
  <si>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</si>
  <si>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</si>
  <si>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</si>
  <si>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</si>
  <si>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</si>
  <si>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</si>
  <si>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</si>
  <si>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</si>
  <si>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</si>
  <si>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</si>
  <si>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</si>
  <si>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</si>
  <si>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</si>
  <si>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</si>
  <si>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</si>
  <si>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</si>
  <si>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</si>
  <si>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</si>
  <si>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</si>
  <si>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</si>
  <si>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</si>
  <si>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</si>
  <si>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</si>
  <si>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</si>
  <si>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</si>
  <si>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</si>
  <si>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</si>
  <si>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</si>
  <si>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</si>
  <si>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</si>
  <si>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</si>
  <si>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</si>
  <si>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</si>
  <si>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</si>
  <si>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</si>
  <si>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</si>
  <si>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</si>
  <si>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</si>
  <si>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</si>
  <si>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</si>
  <si>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</si>
  <si>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</si>
  <si>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</si>
  <si>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</si>
  <si>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</si>
  <si>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</si>
  <si>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</si>
  <si>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</si>
  <si>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</si>
  <si>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</si>
  <si>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</si>
  <si>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</si>
  <si>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</si>
  <si>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</si>
  <si>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</si>
  <si>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</si>
  <si>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</si>
  <si>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</si>
  <si>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</si>
  <si>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</si>
  <si>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</si>
  <si>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</si>
  <si>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</si>
  <si>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</si>
  <si>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</si>
  <si>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</si>
  <si>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</si>
  <si>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</si>
  <si>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</si>
  <si>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</si>
  <si>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</si>
  <si>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</si>
  <si>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</si>
  <si>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</si>
  <si>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</si>
  <si>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</si>
  <si>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</si>
  <si>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</si>
  <si>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</si>
  <si>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</si>
  <si>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</si>
  <si>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</si>
  <si>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</si>
  <si>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</si>
  <si>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</si>
  <si>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</si>
  <si>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</si>
  <si>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</si>
  <si>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</si>
  <si>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</si>
  <si>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</si>
  <si>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</si>
  <si>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</si>
  <si>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</si>
  <si>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</si>
  <si>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</si>
  <si>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</si>
  <si>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</si>
  <si>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</si>
  <si>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</si>
  <si>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</si>
  <si>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</si>
  <si>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</si>
  <si>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</si>
  <si>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</si>
  <si>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</si>
  <si>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</si>
  <si>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</si>
  <si>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</si>
  <si>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</si>
  <si>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</si>
  <si>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</si>
  <si>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</si>
  <si>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</si>
  <si>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</si>
  <si>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</si>
  <si>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</si>
  <si>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</si>
  <si>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</si>
  <si>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</si>
  <si>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</si>
  <si>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</si>
  <si>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</si>
  <si>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</si>
  <si>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</si>
  <si>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</si>
  <si>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</si>
  <si>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</si>
  <si>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</si>
  <si>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</si>
  <si>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</si>
  <si>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</si>
  <si>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</si>
  <si>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</si>
  <si>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</si>
  <si>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</si>
  <si>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</si>
  <si>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</si>
  <si>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</si>
  <si>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</si>
  <si>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</si>
  <si>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</si>
  <si>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</si>
  <si>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</si>
  <si>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</si>
  <si>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</si>
  <si>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</si>
  <si>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</si>
  <si>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</si>
  <si>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</si>
  <si>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</si>
  <si>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</si>
  <si>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</si>
  <si>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</si>
  <si>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</si>
  <si>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</si>
  <si>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</si>
  <si>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</si>
  <si>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</si>
  <si>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</si>
  <si>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</si>
  <si>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</si>
  <si>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</si>
  <si>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</si>
  <si>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</si>
  <si>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</si>
  <si>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</si>
  <si>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</si>
  <si>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</si>
  <si>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</si>
  <si>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</si>
  <si>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</si>
  <si>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</si>
  <si>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</si>
  <si>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</si>
  <si>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</si>
  <si>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</si>
  <si>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</si>
  <si>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</si>
  <si>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</si>
  <si>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</si>
  <si>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</si>
  <si>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</si>
  <si>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</si>
  <si>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</si>
  <si>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</si>
  <si>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</si>
  <si>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</si>
  <si>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</si>
  <si>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</si>
  <si>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</si>
  <si>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</si>
  <si>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</si>
  <si>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</si>
  <si>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</si>
  <si>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</si>
  <si>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</si>
  <si>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</si>
  <si>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</si>
  <si>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</si>
  <si>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</si>
  <si>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</si>
  <si>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</si>
  <si>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</si>
  <si>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</si>
  <si>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</si>
  <si>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</si>
  <si>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</si>
  <si>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</si>
  <si>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</si>
  <si>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</si>
  <si>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</si>
  <si>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</si>
  <si>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</si>
  <si>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</si>
  <si>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</si>
  <si>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</si>
  <si>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</si>
  <si>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</si>
  <si>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</si>
  <si>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</si>
  <si>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</si>
  <si>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</si>
  <si>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</si>
  <si>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</si>
  <si>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</si>
  <si>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</si>
  <si>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</si>
  <si>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</si>
  <si>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</si>
  <si>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</si>
  <si>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</si>
  <si>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</si>
  <si>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</si>
  <si>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</si>
  <si>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</si>
  <si>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</si>
  <si>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</si>
  <si>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</si>
  <si>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</si>
  <si>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</si>
  <si>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</si>
  <si>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</si>
  <si>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</si>
  <si>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</si>
  <si>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</si>
  <si>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</si>
  <si>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</si>
  <si>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</si>
  <si>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</si>
  <si>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</si>
  <si>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</si>
  <si>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</si>
  <si>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</si>
  <si>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</si>
  <si>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</si>
  <si>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</si>
  <si>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</si>
  <si>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</si>
  <si>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</si>
  <si>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</si>
  <si>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</si>
  <si>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</si>
  <si>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</si>
  <si>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</si>
  <si>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</si>
  <si>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</si>
  <si>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</si>
  <si>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</si>
  <si>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</si>
  <si>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</si>
  <si>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</si>
  <si>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</si>
  <si>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</si>
  <si>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</si>
  <si>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</si>
  <si>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</si>
  <si>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</si>
  <si>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</si>
  <si>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</si>
  <si>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</si>
  <si>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</si>
  <si>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</si>
  <si>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</si>
  <si>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</si>
  <si>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</si>
  <si>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</si>
  <si>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</si>
  <si>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</si>
  <si>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</si>
  <si>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</si>
  <si>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</si>
  <si>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</si>
  <si>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</si>
  <si>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</si>
  <si>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</si>
  <si>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</si>
  <si>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</si>
  <si>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</si>
  <si>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</si>
  <si>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</si>
  <si>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</si>
  <si>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</si>
  <si>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</si>
  <si>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</si>
  <si>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</si>
  <si>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</si>
  <si>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</si>
  <si>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</si>
  <si>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</si>
  <si>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</si>
  <si>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</si>
  <si>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</si>
  <si>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</si>
  <si>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</si>
  <si>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</si>
  <si>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</si>
  <si>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</si>
  <si>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</si>
  <si>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</si>
  <si>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</si>
  <si>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</si>
  <si>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</si>
  <si>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</si>
  <si>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</si>
  <si>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</si>
  <si>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</si>
  <si>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</si>
  <si>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</si>
  <si>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</si>
  <si>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</si>
  <si>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</si>
  <si>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</si>
  <si>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</si>
  <si>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</si>
  <si>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</si>
  <si>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</si>
  <si>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</si>
  <si>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</si>
  <si>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</si>
  <si>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</si>
  <si>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</si>
  <si>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</si>
  <si>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</si>
  <si>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</si>
  <si>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</si>
  <si>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</si>
  <si>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</si>
  <si>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</si>
  <si>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</si>
  <si>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</si>
  <si>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</si>
  <si>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</si>
  <si>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</si>
  <si>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</si>
  <si>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</si>
  <si>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</si>
  <si>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</si>
  <si>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</si>
  <si>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</si>
  <si>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</si>
  <si>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</si>
  <si>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</si>
  <si>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</si>
  <si>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</si>
  <si>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</si>
  <si>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</si>
  <si>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</si>
  <si>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</si>
  <si>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</si>
  <si>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</si>
  <si>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</si>
  <si>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</si>
  <si>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</si>
  <si>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</si>
  <si>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</si>
  <si>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</si>
  <si>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</si>
  <si>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</si>
  <si>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</si>
  <si>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</si>
  <si>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</si>
  <si>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</si>
  <si>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</si>
  <si>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</si>
  <si>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</si>
  <si>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</si>
  <si>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</si>
  <si>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</si>
  <si>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</si>
  <si>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</si>
  <si>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</si>
  <si>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</si>
  <si>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</si>
  <si>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</si>
  <si>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</si>
  <si>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</si>
  <si>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</si>
  <si>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</si>
  <si>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</si>
  <si>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</si>
  <si>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</si>
  <si>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</si>
  <si>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</si>
  <si>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</si>
  <si>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</si>
  <si>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</si>
  <si>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</si>
  <si>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</si>
  <si>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</si>
  <si>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</si>
  <si>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</si>
  <si>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</si>
  <si>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</si>
  <si>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</si>
  <si>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</si>
  <si>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</si>
  <si>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</si>
  <si>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</si>
  <si>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</si>
  <si>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</si>
  <si>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</si>
  <si>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</si>
  <si>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</si>
  <si>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</si>
  <si>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</si>
  <si>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</si>
  <si>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</si>
  <si>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</si>
  <si>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</si>
  <si>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</si>
  <si>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</si>
  <si>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</si>
  <si>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</si>
  <si>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</si>
  <si>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</si>
  <si>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</si>
  <si>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</si>
  <si>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</si>
  <si>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</si>
  <si>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</si>
  <si>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</si>
  <si>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</si>
  <si>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</si>
  <si>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</si>
  <si>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</si>
  <si>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</si>
  <si>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</si>
  <si>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</si>
  <si>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</si>
  <si>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</si>
  <si>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</si>
  <si>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</si>
  <si>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</si>
  <si>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</si>
  <si>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</si>
  <si>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</si>
  <si>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</si>
  <si>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</si>
  <si>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</si>
  <si>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</si>
  <si>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</si>
  <si>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</si>
  <si>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</si>
  <si>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</si>
  <si>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</si>
  <si>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</si>
  <si>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</si>
  <si>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</si>
  <si>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</si>
  <si>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</si>
  <si>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</si>
  <si>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</si>
  <si>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</si>
  <si>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</si>
  <si>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</si>
  <si>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</si>
  <si>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</si>
  <si>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</si>
  <si>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</si>
  <si>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</si>
  <si>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</si>
  <si>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</si>
  <si>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</si>
  <si>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</si>
  <si>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</si>
  <si>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</si>
  <si>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</si>
  <si>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</si>
  <si>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</si>
  <si>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</si>
  <si>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</si>
  <si>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</si>
  <si>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</si>
  <si>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</si>
  <si>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</si>
  <si>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</si>
  <si>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</si>
  <si>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</si>
  <si>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</si>
  <si>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</si>
  <si>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</si>
  <si>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</si>
  <si>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</si>
  <si>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</si>
  <si>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</si>
  <si>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</si>
  <si>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</si>
  <si>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</si>
  <si>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</si>
  <si>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</si>
  <si>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</si>
  <si>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</si>
  <si>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</si>
  <si>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</si>
  <si>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</si>
  <si>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</si>
  <si>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</si>
  <si>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</si>
  <si>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</si>
  <si>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</si>
  <si>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</si>
  <si>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</si>
  <si>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</si>
  <si>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</si>
  <si>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</si>
  <si>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</si>
  <si>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</si>
  <si>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</si>
  <si>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</si>
  <si>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</si>
  <si>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</si>
  <si>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</si>
  <si>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</si>
  <si>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</si>
  <si>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</si>
  <si>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</si>
  <si>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</si>
  <si>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</si>
  <si>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</si>
  <si>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</si>
  <si>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</si>
  <si>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</si>
  <si>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</si>
  <si>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</si>
  <si>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</si>
  <si>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</si>
  <si>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</si>
  <si>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</si>
  <si>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</si>
  <si>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</si>
  <si>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</si>
  <si>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</si>
  <si>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</si>
  <si>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</si>
  <si>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</si>
  <si>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</si>
  <si>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</si>
  <si>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</si>
  <si>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</si>
  <si>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</si>
  <si>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</si>
  <si>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</si>
  <si>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</si>
  <si>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</si>
  <si>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</si>
  <si>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</si>
  <si>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</si>
  <si>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</si>
  <si>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</si>
  <si>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</si>
  <si>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</si>
  <si>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</si>
  <si>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</si>
  <si>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</si>
  <si>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</si>
  <si>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</si>
  <si>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</si>
  <si>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</si>
  <si>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</si>
  <si>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</si>
  <si>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</si>
  <si>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</si>
  <si>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</si>
  <si>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</si>
  <si>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</si>
  <si>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</si>
  <si>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</si>
  <si>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</si>
  <si>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</si>
  <si>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</si>
  <si>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</si>
  <si>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</si>
  <si>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</si>
  <si>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</si>
  <si>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</si>
  <si>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</si>
  <si>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</si>
  <si>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</si>
  <si>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</si>
  <si>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</si>
  <si>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</si>
  <si>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</si>
  <si>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</si>
  <si>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</si>
  <si>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</si>
  <si>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</si>
  <si>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</si>
  <si>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</si>
  <si>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</si>
  <si>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</si>
  <si>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</si>
  <si>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</si>
  <si>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</si>
  <si>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</si>
  <si>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</si>
  <si>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</si>
  <si>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</si>
  <si>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</si>
  <si>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</si>
  <si>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</si>
  <si>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</si>
  <si>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</si>
  <si>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</si>
  <si>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</si>
  <si>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</si>
  <si>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</si>
  <si>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</si>
  <si>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</si>
  <si>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</si>
  <si>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</si>
  <si>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</si>
  <si>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</si>
  <si>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</si>
  <si>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</si>
  <si>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</si>
  <si>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</si>
  <si>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</si>
  <si>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</si>
  <si>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</si>
  <si>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</si>
  <si>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</si>
  <si>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</si>
  <si>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</si>
  <si>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</si>
  <si>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</si>
  <si>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</si>
  <si>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</si>
  <si>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</si>
  <si>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</si>
  <si>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</si>
  <si>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</si>
  <si>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</si>
  <si>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</si>
  <si>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</si>
  <si>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</si>
  <si>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</si>
  <si>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</si>
  <si>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</si>
  <si>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</si>
  <si>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</si>
  <si>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</si>
  <si>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</si>
  <si>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</si>
  <si>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</si>
  <si>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</si>
  <si>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</si>
  <si>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</si>
  <si>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</si>
  <si>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</si>
  <si>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</si>
  <si>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</si>
  <si>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</si>
  <si>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</si>
  <si>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</si>
  <si>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</si>
  <si>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</si>
  <si>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</si>
  <si>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</si>
  <si>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</si>
  <si>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</si>
  <si>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</si>
  <si>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</si>
  <si>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</si>
  <si>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</si>
  <si>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</si>
  <si>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</si>
  <si>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</si>
  <si>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</si>
  <si>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</si>
  <si>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</si>
  <si>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</si>
  <si>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</si>
  <si>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</si>
  <si>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</si>
  <si>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</si>
  <si>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</si>
  <si>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</si>
  <si>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</si>
  <si>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</si>
  <si>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</si>
  <si>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</si>
  <si>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</si>
  <si>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</si>
  <si>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</si>
  <si>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</si>
  <si>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</si>
  <si>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</si>
  <si>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</si>
  <si>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</si>
  <si>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</si>
  <si>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</si>
  <si>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</si>
  <si>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</si>
  <si>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</si>
  <si>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</si>
  <si>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</si>
  <si>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</si>
  <si>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</si>
  <si>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</si>
  <si>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</si>
  <si>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</si>
  <si>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</si>
  <si>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</si>
  <si>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</si>
  <si>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</si>
  <si>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</si>
  <si>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</si>
  <si>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</si>
  <si>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</si>
  <si>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</si>
  <si>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</si>
  <si>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</si>
  <si>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</si>
  <si>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</si>
  <si>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</si>
  <si>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</si>
  <si>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</si>
  <si>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</si>
  <si>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</si>
  <si>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</si>
  <si>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</si>
  <si>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</si>
  <si>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</si>
  <si>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</si>
  <si>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</si>
  <si>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</si>
  <si>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</si>
  <si>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</si>
  <si>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</si>
  <si>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</si>
  <si>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</si>
  <si>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</si>
  <si>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</si>
  <si>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</si>
  <si>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</si>
  <si>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</si>
  <si>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</si>
  <si>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</si>
  <si>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</si>
  <si>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</si>
  <si>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</si>
  <si>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</si>
  <si>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</si>
  <si>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</si>
  <si>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</si>
  <si>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</si>
  <si>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</si>
  <si>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</si>
  <si>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</si>
  <si>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</si>
  <si>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</si>
  <si>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</si>
  <si>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</si>
  <si>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</si>
  <si>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</si>
  <si>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</si>
  <si>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</si>
  <si>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</si>
  <si>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</si>
  <si>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</si>
  <si>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</si>
  <si>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</si>
  <si>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</si>
  <si>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</si>
  <si>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</si>
  <si>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</si>
  <si>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</si>
  <si>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</si>
  <si>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</si>
  <si>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</si>
  <si>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</si>
  <si>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</si>
  <si>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</si>
  <si>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</si>
  <si>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</si>
  <si>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</si>
  <si>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</si>
  <si>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</si>
  <si>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</si>
  <si>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</si>
  <si>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</si>
  <si>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</si>
  <si>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</si>
  <si>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</si>
  <si>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</si>
  <si>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</si>
  <si>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</si>
  <si>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</si>
  <si>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</si>
  <si>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</si>
  <si>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</si>
  <si>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</si>
  <si>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</si>
  <si>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</si>
  <si>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</si>
  <si>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</si>
  <si>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</si>
  <si>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</si>
  <si>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</si>
  <si>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</si>
  <si>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</si>
  <si>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</si>
  <si>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</si>
  <si>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</si>
  <si>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</si>
  <si>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</si>
  <si>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</si>
  <si>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</si>
  <si>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</si>
  <si>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</si>
  <si>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</si>
  <si>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</si>
  <si>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</si>
  <si>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</si>
  <si>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</si>
  <si>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</si>
  <si>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</si>
  <si>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</si>
  <si>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</si>
  <si>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</si>
  <si>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</si>
  <si>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</si>
  <si>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</si>
  <si>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</si>
  <si>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</si>
  <si>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</si>
  <si>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</si>
  <si>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</si>
  <si>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</si>
  <si>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</si>
  <si>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</si>
  <si>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</si>
  <si>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</si>
  <si>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</si>
  <si>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</si>
  <si>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</si>
  <si>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</si>
  <si>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</si>
  <si>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</si>
  <si>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</si>
  <si>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</si>
  <si>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</si>
  <si>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</si>
  <si>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</si>
  <si>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</si>
  <si>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</si>
  <si>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</si>
  <si>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</si>
  <si>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</si>
  <si>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</si>
  <si>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</si>
  <si>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</si>
  <si>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</si>
  <si>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</si>
  <si>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</si>
  <si>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</si>
  <si>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</si>
  <si>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</si>
  <si>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</si>
  <si>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</si>
  <si>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</si>
  <si>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</si>
  <si>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</si>
  <si>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</si>
  <si>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</si>
  <si>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</si>
  <si>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</si>
  <si>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</si>
  <si>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</si>
  <si>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</si>
  <si>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</si>
  <si>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</si>
  <si>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</si>
  <si>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</si>
  <si>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</si>
  <si>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</si>
  <si>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</si>
  <si>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</si>
  <si>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</si>
  <si>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</si>
  <si>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</si>
  <si>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</si>
  <si>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</si>
  <si>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</si>
  <si>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</si>
  <si>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</si>
  <si>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</si>
  <si>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</si>
  <si>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</si>
  <si>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</si>
  <si>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</si>
  <si>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</si>
  <si>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</si>
  <si>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</si>
  <si>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</si>
  <si>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</si>
  <si>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</si>
  <si>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</si>
  <si>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</si>
  <si>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</si>
  <si>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</si>
  <si>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</si>
  <si>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</si>
  <si>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</si>
  <si>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</si>
  <si>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</si>
  <si>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</si>
  <si>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</si>
  <si>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</si>
  <si>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</si>
  <si>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</si>
  <si>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</si>
  <si>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</si>
  <si>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</si>
  <si>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</si>
  <si>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</si>
  <si>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</si>
  <si>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</si>
  <si>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</si>
  <si>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</si>
  <si>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</si>
  <si>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</si>
  <si>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</si>
  <si>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</si>
  <si>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</si>
  <si>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</si>
  <si>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</si>
  <si>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</si>
  <si>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</si>
  <si>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</si>
  <si>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</si>
  <si>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</si>
  <si>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</si>
  <si>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</si>
  <si>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</si>
  <si>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</si>
  <si>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</si>
  <si>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</si>
  <si>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</si>
  <si>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</si>
  <si>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</si>
  <si>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</si>
  <si>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</si>
  <si>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</si>
  <si>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</si>
  <si>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</si>
  <si>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</si>
  <si>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</si>
  <si>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</si>
  <si>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</si>
  <si>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</si>
  <si>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</si>
  <si>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</si>
  <si>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</si>
  <si>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</si>
  <si>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</si>
  <si>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</si>
  <si>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</si>
  <si>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</si>
  <si>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</si>
  <si>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</si>
  <si>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</si>
  <si>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</si>
  <si>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</si>
  <si>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</si>
  <si>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</si>
  <si>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</si>
  <si>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</si>
  <si>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</si>
  <si>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</si>
  <si>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</si>
  <si>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</si>
  <si>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</si>
  <si>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</si>
  <si>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</si>
  <si>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</si>
  <si>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</si>
  <si>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</si>
  <si>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</si>
  <si>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</si>
  <si>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</si>
  <si>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</si>
  <si>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</si>
  <si>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</si>
  <si>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</si>
  <si>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</si>
  <si>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</si>
  <si>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</si>
  <si>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</si>
  <si>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</si>
  <si>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</si>
  <si>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</si>
  <si>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</si>
  <si>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</si>
  <si>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</si>
  <si>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</si>
  <si>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</si>
  <si>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</si>
  <si>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</si>
  <si>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</si>
  <si>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</si>
  <si>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</si>
  <si>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</si>
  <si>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</si>
  <si>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</si>
  <si>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</si>
  <si>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</si>
  <si>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</si>
  <si>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</si>
  <si>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</si>
  <si>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</si>
  <si>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</si>
  <si>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</si>
  <si>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</si>
  <si>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</si>
  <si>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</si>
  <si>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</si>
  <si>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</si>
  <si>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</si>
  <si>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</si>
  <si>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</si>
  <si>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</si>
  <si>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</si>
  <si>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</si>
  <si>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</si>
  <si>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</si>
  <si>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</si>
  <si>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</si>
  <si>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</si>
  <si>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</si>
  <si>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</si>
  <si>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</si>
  <si>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</si>
  <si>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</si>
  <si>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</si>
  <si>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</si>
  <si>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</si>
  <si>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</si>
  <si>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</si>
  <si>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</si>
  <si>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</si>
  <si>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</si>
  <si>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</si>
  <si>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</si>
  <si>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</si>
  <si>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</si>
  <si>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</si>
  <si>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</si>
  <si>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</si>
  <si>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</si>
  <si>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</si>
  <si>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</si>
  <si>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</si>
  <si>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</si>
  <si>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</si>
  <si>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</si>
  <si>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</si>
  <si>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</si>
  <si>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</si>
  <si>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</si>
  <si>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</si>
  <si>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</si>
  <si>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</si>
  <si>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</si>
  <si>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</si>
  <si>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</si>
  <si>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</si>
  <si>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</si>
  <si>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</si>
  <si>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</si>
  <si>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</si>
  <si>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</si>
  <si>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</si>
  <si>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</si>
  <si>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</si>
  <si>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</si>
  <si>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</si>
  <si>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</si>
  <si>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</si>
  <si>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</si>
  <si>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</si>
  <si>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</si>
  <si>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</si>
  <si>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</si>
  <si>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</si>
  <si>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</si>
  <si>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</si>
  <si>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</si>
  <si>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</si>
  <si>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</si>
  <si>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</si>
  <si>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</si>
  <si>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</si>
  <si>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</si>
  <si>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</si>
  <si>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</si>
  <si>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</si>
  <si>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</si>
  <si>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</si>
  <si>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</si>
  <si>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</si>
  <si>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</si>
  <si>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</si>
  <si>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</si>
  <si>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</si>
  <si>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</si>
  <si>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</si>
  <si>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</si>
  <si>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</si>
  <si>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</si>
  <si>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</si>
  <si>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</si>
  <si>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</si>
  <si>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</si>
  <si>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</si>
  <si>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</si>
  <si>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</si>
  <si>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</si>
  <si>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</si>
  <si>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</si>
  <si>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</si>
  <si>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</si>
  <si>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</si>
  <si>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</si>
  <si>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</si>
  <si>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</si>
  <si>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</si>
  <si>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</si>
  <si>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</si>
  <si>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</si>
  <si>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</si>
  <si>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</si>
  <si>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</si>
  <si>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</si>
  <si>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</si>
  <si>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</si>
  <si>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</si>
  <si>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</si>
  <si>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</si>
  <si>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</si>
  <si>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</si>
  <si>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</si>
  <si>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</si>
  <si>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</si>
  <si>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</si>
  <si>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</si>
  <si>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</si>
  <si>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</si>
  <si>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</si>
  <si>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</si>
  <si>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</si>
  <si>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</si>
  <si>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</si>
  <si>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</si>
  <si>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</si>
  <si>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</si>
  <si>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</si>
  <si>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</si>
  <si>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</si>
  <si>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</si>
  <si>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</si>
  <si>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</si>
  <si>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</si>
  <si>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</si>
  <si>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</si>
  <si>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</si>
  <si>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</si>
  <si>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</si>
  <si>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</si>
  <si>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</si>
  <si>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</si>
  <si>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</si>
  <si>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</si>
  <si>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</si>
  <si>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</si>
  <si>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</si>
  <si>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</si>
  <si>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</si>
  <si>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</si>
  <si>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</si>
  <si>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</si>
  <si>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</si>
  <si>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</si>
  <si>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</si>
  <si>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</si>
  <si>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</si>
  <si>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</si>
  <si>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</si>
  <si>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</si>
  <si>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</si>
  <si>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</si>
  <si>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</si>
  <si>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</si>
  <si>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</si>
  <si>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</si>
  <si>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</si>
  <si>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</si>
  <si>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</si>
  <si>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</si>
  <si>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</si>
  <si>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</si>
  <si>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</si>
  <si>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</si>
  <si>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</si>
  <si>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</si>
  <si>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</si>
  <si>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</si>
  <si>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</si>
  <si>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</si>
  <si>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</si>
  <si>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</si>
  <si>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</si>
  <si>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</si>
  <si>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</si>
  <si>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</si>
  <si>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</si>
  <si>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</si>
  <si>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</si>
  <si>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</si>
  <si>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</si>
  <si>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</si>
  <si>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</si>
  <si>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</si>
  <si>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</si>
  <si>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</si>
  <si>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</si>
  <si>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</si>
  <si>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</si>
  <si>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</si>
  <si>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</si>
  <si>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</si>
  <si>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</si>
  <si>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</si>
  <si>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</si>
  <si>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</si>
  <si>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</si>
  <si>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</si>
  <si>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</si>
  <si>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</si>
  <si>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</si>
  <si>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</si>
  <si>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</si>
  <si>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</si>
  <si>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</si>
  <si>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</si>
  <si>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</si>
  <si>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</si>
  <si>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</si>
  <si>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</si>
  <si>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</si>
  <si>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</si>
  <si>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</si>
  <si>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</si>
  <si>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</si>
  <si>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</si>
  <si>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</si>
  <si>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</si>
  <si>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</si>
  <si>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</si>
  <si>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</si>
  <si>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</si>
  <si>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</si>
  <si>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</si>
  <si>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</si>
  <si>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</si>
  <si>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</si>
  <si>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</si>
  <si>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</si>
  <si>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</si>
  <si>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</si>
  <si>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</si>
  <si>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</si>
  <si>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</si>
  <si>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</si>
  <si>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</si>
  <si>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</si>
  <si>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</si>
  <si>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</si>
  <si>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</si>
  <si>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</si>
  <si>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</si>
  <si>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</si>
  <si>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</si>
  <si>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</si>
  <si>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</si>
  <si>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</si>
  <si>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</si>
  <si>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</si>
  <si>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</si>
  <si>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</si>
  <si>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</si>
  <si>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</si>
  <si>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</si>
  <si>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</si>
  <si>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</si>
  <si>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</si>
  <si>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</si>
  <si>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</si>
  <si>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</si>
  <si>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</si>
  <si>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</si>
  <si>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</si>
  <si>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</si>
  <si>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</si>
  <si>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</si>
  <si>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</si>
  <si>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</si>
  <si>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</si>
  <si>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</si>
  <si>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</si>
  <si>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</si>
  <si>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</si>
  <si>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</si>
  <si>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</si>
  <si>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</si>
  <si>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</si>
  <si>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</si>
  <si>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</si>
  <si>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</si>
  <si>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</si>
  <si>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</si>
  <si>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</si>
  <si>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</si>
  <si>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</si>
  <si>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</si>
  <si>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</si>
  <si>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</si>
  <si>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</si>
  <si>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</si>
  <si>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</si>
  <si>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</si>
  <si>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</si>
  <si>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</si>
  <si>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</si>
  <si>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</si>
  <si>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</si>
  <si>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</si>
  <si>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</si>
  <si>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</si>
  <si>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</si>
  <si>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</si>
  <si>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</si>
  <si>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</si>
  <si>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</si>
  <si>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</si>
  <si>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</si>
  <si>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</si>
  <si>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</si>
  <si>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</si>
  <si>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</si>
  <si>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</si>
  <si>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</si>
  <si>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</si>
  <si>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</si>
  <si>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</si>
  <si>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</si>
  <si>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</si>
  <si>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</si>
  <si>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</si>
  <si>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</si>
  <si>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</si>
  <si>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</si>
  <si>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</si>
  <si>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</si>
  <si>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</si>
  <si>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</si>
  <si>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</si>
  <si>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</si>
  <si>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</si>
  <si>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</si>
  <si>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</si>
  <si>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</si>
  <si>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</si>
  <si>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</si>
  <si>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</si>
  <si>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</si>
  <si>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</si>
  <si>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</si>
  <si>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</si>
  <si>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</si>
  <si>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</si>
  <si>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</si>
  <si>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</si>
  <si>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</si>
  <si>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</si>
  <si>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</si>
  <si>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</si>
  <si>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</si>
  <si>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</si>
  <si>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</si>
  <si>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</si>
  <si>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</si>
  <si>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</si>
  <si>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</si>
  <si>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</si>
  <si>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</si>
  <si>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</si>
  <si>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</si>
  <si>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</si>
  <si>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</si>
  <si>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</si>
  <si>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</si>
  <si>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</si>
  <si>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</si>
  <si>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</si>
  <si>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</si>
  <si>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</si>
  <si>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</si>
  <si>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</si>
  <si>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</si>
  <si>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</si>
  <si>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</si>
  <si>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</si>
  <si>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</si>
  <si>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</si>
  <si>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</si>
  <si>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</si>
  <si>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</si>
  <si>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</si>
  <si>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</si>
  <si>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</si>
  <si>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</si>
  <si>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</si>
  <si>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</si>
  <si>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</si>
  <si>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</si>
  <si>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</si>
  <si>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</si>
  <si>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</si>
  <si>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</si>
  <si>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</si>
  <si>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</si>
  <si>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</si>
  <si>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</si>
  <si>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</si>
  <si>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</si>
  <si>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</si>
  <si>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</si>
  <si>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</si>
  <si>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</si>
  <si>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</si>
  <si>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</si>
  <si>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</si>
  <si>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</si>
  <si>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</si>
  <si>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</si>
  <si>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</si>
  <si>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</si>
  <si>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</si>
  <si>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</si>
  <si>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</si>
  <si>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</si>
  <si>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</si>
  <si>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</si>
  <si>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</si>
  <si>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</si>
  <si>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</si>
  <si>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</si>
  <si>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</si>
  <si>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</si>
  <si>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</si>
  <si>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</si>
  <si>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</si>
  <si>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</si>
  <si>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</si>
  <si>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</si>
  <si>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</si>
  <si>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</si>
  <si>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</si>
  <si>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</si>
  <si>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</si>
  <si>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</si>
  <si>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</si>
  <si>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</si>
  <si>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</si>
  <si>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</si>
  <si>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</si>
  <si>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</si>
  <si>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</si>
  <si>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</si>
  <si>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</si>
  <si>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</si>
  <si>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</si>
  <si>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</si>
  <si>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</si>
  <si>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</si>
  <si>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</si>
  <si>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</si>
  <si>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</si>
  <si>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</si>
  <si>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</si>
  <si>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</si>
  <si>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</si>
  <si>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</si>
  <si>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</si>
  <si>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</si>
  <si>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</si>
  <si>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</si>
  <si>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</si>
  <si>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</si>
  <si>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</si>
  <si>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</si>
  <si>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</si>
  <si>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</si>
  <si>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</si>
  <si>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</si>
  <si>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</si>
  <si>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</si>
  <si>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</si>
  <si>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</si>
  <si>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</si>
  <si>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</si>
  <si>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</si>
  <si>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</si>
  <si>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</si>
  <si>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</si>
  <si>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</si>
  <si>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</si>
  <si>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</si>
  <si>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</si>
  <si>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</si>
  <si>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</si>
  <si>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</si>
  <si>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</si>
  <si>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</si>
  <si>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</si>
  <si>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</si>
  <si>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</si>
  <si>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</si>
  <si>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</si>
  <si>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</si>
  <si>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</si>
  <si>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</si>
  <si>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</si>
  <si>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</si>
  <si>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</si>
  <si>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</si>
  <si>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</si>
  <si>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</si>
  <si>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</si>
  <si>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</si>
  <si>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</si>
  <si>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</si>
  <si>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</si>
  <si>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</si>
  <si>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</si>
  <si>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</si>
  <si>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</si>
  <si>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</si>
  <si>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</si>
  <si>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</si>
  <si>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</si>
  <si>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</si>
  <si>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</si>
  <si>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</si>
  <si>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</si>
  <si>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</si>
  <si>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</si>
  <si>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</si>
  <si>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</si>
  <si>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</si>
  <si>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</si>
  <si>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</si>
  <si>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</si>
  <si>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</si>
  <si>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</si>
  <si>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</si>
  <si>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</si>
  <si>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</si>
  <si>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</si>
  <si>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</si>
  <si>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</si>
  <si>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</si>
  <si>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</si>
  <si>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</si>
  <si>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</si>
  <si>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</si>
  <si>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</si>
  <si>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</si>
  <si>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</si>
  <si>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</si>
  <si>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</si>
  <si>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</si>
  <si>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</si>
  <si>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</si>
  <si>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</si>
  <si>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</si>
  <si>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</si>
  <si>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</si>
  <si>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</si>
  <si>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</si>
  <si>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</si>
  <si>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</si>
  <si>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</si>
  <si>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</si>
  <si>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</si>
  <si>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</si>
  <si>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</si>
  <si>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</si>
  <si>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</si>
  <si>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</si>
  <si>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</si>
  <si>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</si>
  <si>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</si>
  <si>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</si>
  <si>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</si>
  <si>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</si>
  <si>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</si>
  <si>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</si>
  <si>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</si>
  <si>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</si>
  <si>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</si>
  <si>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</si>
  <si>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</si>
  <si>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</si>
  <si>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</si>
  <si>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</si>
  <si>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</si>
  <si>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</si>
  <si>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</si>
  <si>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</si>
  <si>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</si>
  <si>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</si>
  <si>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</si>
  <si>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</si>
  <si>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</si>
  <si>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</si>
  <si>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</si>
  <si>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</si>
  <si>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</si>
  <si>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</si>
  <si>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</si>
  <si>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</si>
  <si>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</si>
  <si>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</si>
  <si>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</si>
  <si>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</si>
  <si>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</si>
  <si>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</si>
  <si>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</si>
  <si>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</si>
  <si>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</si>
  <si>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</si>
  <si>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</si>
  <si>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</si>
  <si>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</si>
  <si>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</si>
  <si>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</si>
  <si>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</si>
  <si>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</si>
  <si>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</si>
  <si>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</si>
  <si>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</si>
  <si>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</si>
  <si>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</si>
  <si>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</si>
  <si>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</si>
  <si>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</si>
  <si>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</si>
  <si>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</si>
  <si>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</si>
  <si>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</si>
  <si>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</si>
  <si>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</si>
  <si>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</si>
  <si>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</si>
  <si>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</si>
  <si>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</si>
  <si>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</si>
  <si>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</si>
  <si>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</si>
  <si>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</si>
  <si>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</si>
  <si>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</si>
  <si>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</si>
  <si>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</si>
  <si>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</si>
  <si>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</si>
  <si>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</si>
  <si>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</si>
  <si>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</si>
  <si>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</si>
  <si>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</si>
  <si>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</si>
  <si>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</si>
  <si>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</si>
  <si>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</si>
  <si>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</si>
  <si>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</si>
  <si>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</si>
  <si>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</si>
  <si>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</si>
  <si>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</si>
  <si>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</si>
  <si>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</si>
  <si>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</si>
  <si>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</si>
  <si>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</si>
  <si>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</si>
  <si>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</si>
  <si>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</si>
  <si>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</si>
  <si>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</si>
  <si>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</si>
  <si>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</si>
  <si>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</si>
  <si>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</si>
  <si>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</si>
  <si>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</si>
  <si>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</si>
  <si>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</si>
  <si>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</si>
  <si>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</si>
  <si>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</si>
  <si>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</si>
  <si>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</si>
  <si>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</si>
  <si>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</si>
  <si>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</si>
  <si>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</si>
  <si>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</si>
  <si>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</si>
  <si>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</si>
  <si>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</si>
  <si>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</si>
  <si>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</si>
  <si>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</si>
  <si>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</si>
  <si>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</si>
  <si>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</si>
  <si>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</si>
  <si>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</si>
  <si>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</si>
  <si>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</si>
  <si>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</si>
  <si>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</si>
  <si>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</si>
  <si>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</si>
  <si>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</si>
  <si>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</si>
  <si>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</si>
  <si>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</si>
  <si>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</si>
  <si>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</si>
  <si>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</si>
  <si>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</si>
  <si>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</si>
  <si>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</si>
  <si>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</si>
  <si>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</si>
  <si>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</si>
  <si>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</si>
  <si>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</si>
  <si>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</si>
  <si>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</si>
  <si>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</si>
  <si>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</si>
  <si>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</si>
  <si>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</si>
  <si>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</si>
  <si>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</si>
  <si>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</si>
  <si>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</si>
  <si>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</si>
  <si>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</si>
  <si>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</si>
  <si>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</si>
  <si>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</si>
  <si>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</si>
  <si>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</si>
  <si>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</si>
  <si>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</si>
  <si>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</si>
  <si>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</si>
  <si>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</si>
  <si>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</si>
  <si>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</si>
  <si>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</si>
  <si>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</si>
  <si>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</si>
  <si>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</si>
  <si>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</si>
  <si>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</si>
  <si>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</si>
  <si>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</si>
  <si>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</si>
  <si>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</si>
  <si>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</si>
  <si>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</si>
  <si>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</si>
  <si>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</si>
  <si>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</si>
  <si>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</si>
  <si>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</si>
  <si>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</si>
  <si>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</si>
  <si>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</si>
  <si>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</si>
  <si>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</si>
  <si>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</si>
  <si>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</si>
  <si>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</si>
  <si>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</si>
  <si>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</si>
  <si>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</si>
  <si>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</si>
  <si>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</si>
  <si>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</si>
  <si>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</si>
  <si>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</si>
  <si>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</si>
  <si>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</si>
  <si>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</si>
  <si>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</si>
  <si>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</si>
  <si>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</si>
  <si>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</si>
  <si>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</si>
  <si>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</si>
  <si>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</si>
  <si>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</si>
  <si>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</si>
  <si>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</si>
  <si>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</si>
  <si>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</si>
  <si>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</si>
  <si>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</si>
  <si>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</si>
  <si>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</si>
  <si>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</si>
  <si>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</si>
  <si>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</si>
  <si>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</si>
  <si>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</si>
  <si>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</si>
  <si>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</si>
  <si>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</si>
  <si>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</si>
  <si>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</si>
  <si>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</si>
  <si>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</si>
  <si>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</si>
  <si>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</si>
  <si>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</si>
  <si>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</si>
  <si>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</si>
  <si>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</si>
  <si>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</si>
  <si>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</si>
  <si>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</si>
  <si>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</si>
  <si>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</si>
  <si>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</si>
  <si>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</si>
  <si>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</si>
  <si>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</si>
  <si>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</si>
  <si>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</si>
  <si>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</si>
  <si>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</si>
  <si>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</si>
  <si>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</si>
  <si>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</si>
  <si>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</si>
  <si>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</si>
  <si>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</si>
  <si>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</si>
  <si>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</si>
  <si>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</si>
  <si>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</si>
  <si>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</si>
  <si>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</si>
  <si>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</si>
  <si>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</si>
  <si>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</si>
  <si>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</si>
  <si>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</si>
  <si>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</si>
  <si>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</si>
  <si>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</si>
  <si>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</si>
  <si>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</si>
  <si>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</si>
  <si>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</si>
  <si>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</si>
  <si>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</si>
  <si>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</si>
  <si>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</si>
  <si>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</si>
  <si>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</si>
  <si>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</si>
  <si>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</si>
  <si>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</si>
  <si>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</si>
  <si>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</si>
  <si>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</si>
  <si>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</si>
  <si>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</si>
  <si>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</si>
  <si>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</si>
  <si>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</si>
  <si>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</si>
  <si>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</si>
  <si>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</si>
  <si>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</si>
  <si>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</si>
  <si>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</si>
  <si>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</si>
  <si>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</si>
  <si>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</si>
  <si>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</si>
  <si>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</si>
  <si>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</si>
  <si>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</si>
  <si>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</si>
  <si>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</si>
  <si>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</si>
  <si>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</si>
  <si>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</si>
  <si>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</si>
  <si>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</si>
  <si>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</si>
  <si>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</si>
  <si>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</si>
  <si>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</si>
  <si>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</si>
  <si>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</si>
  <si>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</si>
  <si>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</si>
  <si>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</si>
  <si>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</si>
  <si>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</si>
  <si>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</si>
  <si>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</si>
  <si>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</si>
  <si>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</si>
  <si>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</si>
  <si>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</si>
  <si>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</si>
  <si>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</si>
  <si>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</si>
  <si>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</si>
  <si>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</si>
  <si>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</si>
  <si>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</si>
  <si>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</si>
  <si>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</si>
  <si>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</si>
  <si>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</si>
  <si>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</si>
  <si>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</si>
  <si>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</si>
  <si>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</si>
  <si>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</si>
  <si>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</si>
  <si>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</si>
  <si>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</si>
  <si>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</si>
  <si>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</si>
  <si>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</si>
  <si>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</si>
  <si>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</si>
  <si>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</si>
  <si>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</si>
  <si>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</si>
  <si>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</si>
  <si>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</si>
  <si>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</si>
  <si>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</si>
  <si>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</si>
  <si>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</si>
  <si>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</si>
  <si>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</si>
  <si>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</si>
  <si>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</si>
  <si>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</si>
  <si>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</si>
  <si>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</si>
  <si>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</si>
  <si>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</si>
  <si>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</si>
  <si>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</si>
  <si>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</si>
  <si>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</si>
  <si>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</si>
  <si>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</si>
  <si>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</si>
  <si>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</si>
  <si>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</si>
  <si>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</si>
  <si>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</si>
  <si>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</si>
  <si>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</si>
  <si>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</si>
  <si>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</si>
  <si>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</si>
  <si>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</si>
  <si>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</si>
  <si>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</si>
  <si>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</si>
  <si>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</si>
  <si>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</si>
  <si>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</si>
  <si>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</si>
  <si>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</si>
  <si>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</si>
  <si>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</si>
  <si>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</si>
  <si>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</si>
  <si>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</si>
  <si>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</si>
  <si>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</si>
  <si>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</si>
  <si>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</si>
  <si>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</si>
  <si>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</si>
  <si>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</si>
  <si>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</si>
  <si>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</si>
  <si>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</si>
  <si>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</si>
  <si>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</si>
  <si>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</si>
  <si>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</si>
  <si>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</si>
  <si>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</si>
  <si>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</si>
  <si>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</si>
  <si>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</si>
  <si>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</si>
  <si>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</si>
  <si>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</si>
  <si>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</si>
  <si>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</si>
  <si>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</si>
  <si>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</si>
  <si>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</si>
  <si>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</si>
  <si>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</si>
  <si>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</si>
  <si>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</si>
  <si>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</si>
  <si>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</si>
  <si>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</si>
  <si>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</si>
  <si>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</si>
  <si>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</si>
  <si>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</si>
  <si>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</si>
  <si>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</si>
  <si>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</si>
  <si>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</si>
  <si>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</si>
  <si>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</si>
  <si>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</si>
  <si>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</si>
  <si>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</si>
  <si>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</si>
  <si>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</si>
  <si>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</si>
  <si>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</si>
  <si>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</si>
  <si>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</si>
  <si>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</si>
  <si>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</si>
  <si>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</si>
  <si>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</si>
  <si>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</si>
  <si>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</si>
  <si>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</si>
  <si>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</si>
  <si>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</si>
  <si>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</si>
  <si>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</si>
  <si>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</si>
  <si>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</si>
  <si>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</si>
  <si>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</si>
  <si>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</si>
  <si>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</si>
  <si>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</si>
  <si>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</si>
  <si>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</si>
  <si>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</si>
  <si>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</si>
  <si>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</si>
  <si>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</si>
  <si>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</si>
  <si>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</si>
  <si>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</si>
  <si>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</si>
  <si>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</si>
  <si>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</si>
  <si>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</si>
  <si>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</si>
  <si>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</si>
  <si>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</si>
  <si>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</si>
  <si>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</si>
  <si>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</si>
  <si>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</si>
  <si>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</si>
  <si>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</si>
  <si>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</si>
  <si>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</si>
  <si>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</si>
  <si>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</si>
  <si>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</si>
  <si>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</si>
  <si>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</si>
  <si>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</si>
  <si>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</si>
  <si>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</si>
  <si>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</si>
  <si>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</si>
  <si>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</si>
  <si>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</si>
  <si>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</si>
  <si>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</si>
  <si>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</si>
  <si>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</si>
  <si>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</si>
  <si>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</si>
  <si>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</si>
  <si>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</si>
  <si>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</si>
  <si>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</si>
  <si>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</si>
  <si>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</si>
  <si>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</si>
  <si>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</si>
  <si>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</si>
  <si>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</si>
  <si>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</si>
  <si>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</si>
  <si>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</si>
  <si>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</si>
  <si>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</si>
  <si>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</si>
  <si>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</si>
  <si>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</si>
  <si>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</si>
  <si>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</si>
  <si>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</si>
  <si>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</si>
  <si>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</si>
  <si>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</si>
  <si>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</si>
  <si>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</si>
  <si>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</si>
  <si>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</si>
  <si>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</si>
  <si>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</si>
  <si>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</si>
  <si>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</si>
  <si>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</si>
  <si>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</si>
  <si>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</si>
  <si>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</si>
  <si>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</si>
  <si>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</si>
  <si>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</si>
  <si>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</si>
  <si>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</si>
  <si>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</si>
  <si>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</si>
  <si>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</si>
  <si>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</si>
  <si>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</si>
  <si>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</si>
  <si>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</si>
  <si>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</si>
  <si>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</si>
  <si>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</si>
  <si>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</si>
  <si>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</si>
  <si>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</si>
  <si>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</si>
  <si>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</si>
  <si>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</si>
  <si>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</si>
  <si>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</si>
  <si>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</si>
  <si>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</si>
  <si>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</si>
  <si>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</si>
  <si>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</si>
  <si>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</si>
  <si>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</si>
  <si>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</si>
  <si>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</si>
  <si>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</si>
  <si>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</si>
  <si>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</si>
  <si>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</si>
  <si>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</si>
  <si>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</si>
  <si>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</si>
  <si>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</si>
  <si>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</si>
  <si>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</si>
  <si>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</si>
  <si>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</si>
  <si>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</si>
  <si>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</si>
  <si>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</si>
  <si>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</si>
  <si>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</si>
  <si>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</si>
  <si>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</si>
  <si>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</si>
  <si>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</si>
  <si>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</si>
  <si>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</si>
  <si>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</si>
  <si>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</si>
  <si>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</si>
  <si>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</si>
  <si>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</si>
  <si>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</si>
  <si>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</si>
  <si>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</si>
  <si>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</si>
  <si>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</si>
  <si>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</si>
  <si>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</si>
  <si>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</si>
  <si>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</si>
  <si>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</si>
  <si>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</si>
  <si>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</si>
  <si>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</si>
  <si>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</si>
  <si>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</si>
  <si>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</si>
  <si>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</si>
  <si>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</si>
  <si>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</si>
  <si>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</si>
  <si>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</si>
  <si>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</si>
  <si>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</si>
  <si>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</si>
  <si>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</si>
  <si>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</si>
  <si>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</si>
  <si>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</si>
  <si>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</si>
  <si>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</si>
  <si>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</si>
  <si>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</si>
  <si>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</si>
  <si>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</si>
  <si>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</si>
  <si>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</si>
  <si>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</si>
  <si>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</si>
  <si>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</si>
  <si>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</si>
  <si>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</si>
  <si>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</si>
  <si>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</si>
  <si>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</si>
  <si>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</si>
  <si>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</si>
  <si>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</si>
  <si>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</si>
  <si>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</si>
  <si>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</si>
  <si>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</si>
  <si>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</si>
  <si>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</si>
  <si>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</si>
  <si>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</si>
  <si>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</si>
  <si>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</si>
  <si>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</si>
  <si>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</si>
  <si>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</si>
  <si>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</si>
  <si>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</si>
  <si>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</si>
  <si>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</si>
  <si>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</si>
  <si>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</si>
  <si>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</si>
  <si>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</si>
  <si>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</si>
  <si>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</si>
  <si>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</si>
  <si>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</si>
  <si>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</si>
  <si>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</si>
  <si>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</si>
  <si>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</si>
  <si>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</si>
  <si>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</si>
  <si>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</si>
  <si>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</si>
  <si>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</si>
  <si>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</si>
  <si>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</si>
  <si>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</si>
  <si>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</si>
  <si>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</si>
  <si>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</si>
  <si>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</si>
  <si>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</si>
  <si>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</si>
  <si>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</si>
  <si>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</si>
  <si>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</si>
  <si>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</si>
  <si>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</si>
  <si>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</si>
  <si>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</si>
  <si>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</si>
  <si>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</si>
  <si>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</si>
  <si>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</si>
  <si>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</si>
  <si>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</si>
  <si>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</si>
  <si>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</si>
  <si>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</si>
  <si>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</si>
  <si>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</si>
  <si>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</si>
  <si>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</si>
  <si>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</si>
  <si>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</si>
  <si>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</si>
  <si>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</si>
  <si>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</si>
  <si>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</si>
  <si>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</si>
  <si>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</si>
  <si>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</si>
  <si>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</si>
  <si>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</si>
  <si>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</si>
  <si>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</si>
  <si>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</si>
  <si>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</si>
  <si>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</si>
  <si>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</si>
  <si>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</si>
  <si>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</si>
  <si>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</si>
  <si>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</si>
  <si>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</si>
  <si>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</si>
  <si>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</si>
  <si>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</si>
  <si>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</si>
  <si>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</si>
  <si>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</si>
  <si>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</si>
  <si>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</si>
  <si>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</si>
  <si>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</si>
  <si>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</si>
  <si>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</si>
  <si>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</si>
  <si>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</si>
  <si>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</si>
  <si>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</si>
  <si>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</si>
  <si>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</si>
  <si>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</si>
  <si>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</si>
  <si>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</si>
  <si>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</si>
  <si>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</si>
  <si>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</si>
  <si>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</si>
  <si>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</si>
  <si>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</si>
  <si>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</si>
  <si>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</si>
  <si>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</si>
  <si>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</si>
  <si>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</si>
  <si>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</si>
  <si>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</si>
  <si>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</si>
  <si>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</si>
  <si>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</si>
  <si>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</si>
  <si>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</si>
  <si>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</si>
  <si>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</si>
  <si>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</si>
  <si>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</si>
  <si>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</si>
  <si>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</si>
  <si>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</si>
  <si>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</si>
  <si>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</si>
  <si>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</si>
  <si>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</si>
  <si>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</si>
  <si>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</si>
  <si>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</si>
  <si>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</si>
  <si>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</si>
  <si>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</si>
  <si>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</si>
  <si>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</si>
  <si>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</si>
  <si>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</si>
  <si>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</si>
  <si>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</si>
  <si>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</si>
  <si>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</si>
  <si>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</si>
  <si>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</si>
  <si>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</si>
  <si>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</si>
  <si>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</si>
  <si>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</si>
  <si>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</si>
  <si>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</si>
  <si>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</si>
  <si>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</si>
  <si>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</si>
  <si>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</si>
  <si>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</si>
  <si>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</si>
  <si>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</si>
  <si>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</si>
  <si>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</si>
  <si>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</si>
  <si>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</si>
  <si>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</si>
  <si>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</si>
  <si>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</si>
  <si>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</si>
  <si>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</si>
  <si>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</si>
  <si>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</si>
  <si>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</si>
  <si>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</si>
  <si>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</si>
  <si>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</si>
  <si>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</si>
  <si>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</si>
  <si>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</si>
  <si>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</si>
  <si>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</si>
  <si>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</si>
  <si>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</si>
  <si>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</si>
  <si>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</si>
  <si>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</si>
  <si>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</si>
  <si>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</si>
  <si>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</si>
  <si>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</si>
  <si>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</si>
  <si>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</si>
  <si>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</si>
  <si>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</si>
  <si>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</si>
  <si>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</si>
  <si>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</si>
  <si>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</si>
  <si>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</si>
  <si>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</si>
  <si>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</si>
  <si>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</si>
  <si>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</si>
  <si>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</si>
  <si>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</si>
  <si>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</si>
  <si>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</si>
  <si>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</si>
  <si>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</si>
  <si>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</si>
  <si>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</si>
  <si>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</si>
  <si>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</si>
  <si>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</si>
  <si>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</si>
  <si>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</si>
  <si>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</si>
  <si>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</si>
  <si>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</si>
  <si>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</si>
  <si>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</si>
  <si>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</si>
  <si>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</si>
  <si>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</si>
  <si>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</si>
  <si>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</si>
  <si>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</si>
  <si>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</si>
  <si>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</si>
  <si>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</si>
  <si>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</si>
  <si>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</si>
  <si>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</si>
  <si>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</si>
  <si>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</si>
  <si>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</si>
  <si>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</si>
  <si>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</si>
  <si>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</si>
  <si>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</si>
  <si>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</si>
  <si>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</si>
  <si>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</si>
  <si>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</si>
  <si>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</si>
  <si>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</si>
  <si>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</si>
  <si>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</si>
  <si>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</si>
  <si>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</si>
  <si>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</si>
  <si>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</si>
  <si>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</si>
  <si>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</si>
  <si>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</si>
  <si>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</si>
  <si>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</si>
  <si>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</si>
  <si>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</si>
  <si>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</si>
  <si>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</si>
  <si>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</si>
  <si>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</si>
  <si>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</si>
  <si>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</si>
  <si>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</si>
  <si>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</si>
  <si>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</si>
  <si>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</si>
  <si>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</si>
  <si>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</si>
  <si>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</si>
  <si>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</si>
  <si>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</si>
  <si>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</si>
  <si>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</si>
  <si>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</si>
  <si>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</si>
  <si>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</si>
  <si>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</si>
  <si>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</si>
  <si>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</si>
  <si>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</si>
  <si>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</si>
  <si>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</si>
  <si>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</si>
  <si>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</si>
  <si>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</si>
  <si>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</si>
  <si>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</si>
  <si>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</si>
  <si>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</si>
  <si>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</si>
  <si>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</si>
  <si>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</si>
  <si>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</si>
  <si>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</si>
  <si>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</si>
  <si>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</si>
  <si>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</si>
  <si>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</si>
  <si>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</si>
  <si>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</si>
  <si>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</si>
  <si>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</si>
  <si>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</si>
  <si>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</si>
  <si>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</si>
  <si>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</si>
  <si>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</si>
  <si>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</si>
  <si>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</si>
  <si>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</si>
  <si>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</si>
  <si>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</si>
  <si>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</si>
  <si>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</si>
  <si>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</si>
  <si>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</si>
  <si>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</si>
  <si>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</si>
  <si>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</si>
  <si>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</si>
  <si>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</si>
  <si>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</si>
  <si>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</si>
  <si>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</si>
  <si>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</si>
  <si>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</si>
  <si>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</si>
  <si>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</si>
  <si>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</si>
  <si>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</si>
  <si>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</si>
  <si>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</si>
  <si>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</si>
  <si>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</si>
  <si>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</si>
  <si>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</si>
  <si>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</si>
  <si>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</si>
  <si>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</si>
  <si>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</si>
  <si>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</si>
  <si>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</si>
  <si>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</si>
  <si>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</si>
  <si>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</si>
  <si>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</si>
  <si>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</si>
  <si>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</si>
  <si>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</si>
  <si>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</si>
  <si>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</si>
  <si>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</si>
  <si>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</si>
  <si>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</si>
  <si>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</si>
  <si>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</si>
  <si>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</si>
  <si>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</si>
  <si>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</si>
  <si>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</si>
  <si>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</si>
  <si>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</si>
  <si>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</si>
  <si>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</si>
  <si>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</si>
  <si>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</si>
  <si>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</si>
  <si>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</si>
  <si>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</si>
  <si>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</si>
  <si>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</si>
  <si>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</si>
  <si>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</si>
  <si>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</si>
  <si>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</si>
  <si>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</si>
  <si>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</si>
  <si>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</si>
  <si>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</si>
  <si>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</si>
  <si>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</si>
  <si>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</si>
  <si>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</si>
  <si>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</si>
  <si>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</si>
  <si>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</si>
  <si>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</si>
  <si>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</si>
  <si>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</si>
  <si>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</si>
  <si>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</si>
  <si>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</si>
  <si>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</si>
  <si>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</si>
  <si>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</si>
  <si>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</si>
  <si>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</si>
  <si>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</si>
  <si>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</si>
  <si>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</si>
  <si>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</si>
  <si>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</si>
  <si>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</si>
  <si>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</si>
  <si>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</si>
  <si>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</si>
  <si>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</si>
  <si>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</si>
  <si>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</si>
  <si>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</si>
  <si>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</si>
  <si>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</si>
  <si>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</si>
  <si>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</si>
  <si>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</si>
  <si>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</si>
  <si>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</si>
  <si>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</si>
  <si>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</si>
  <si>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</si>
  <si>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</si>
  <si>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</si>
  <si>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</si>
  <si>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</si>
  <si>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</si>
  <si>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</si>
  <si>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</si>
  <si>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</si>
  <si>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</si>
  <si>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</si>
  <si>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</si>
  <si>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</si>
  <si>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</si>
  <si>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</si>
  <si>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</si>
  <si>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</si>
  <si>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</si>
  <si>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</si>
  <si>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</si>
  <si>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</si>
  <si>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</si>
  <si>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</si>
  <si>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</si>
  <si>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</si>
  <si>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</si>
  <si>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</si>
  <si>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</si>
  <si>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</si>
  <si>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</si>
  <si>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</si>
  <si>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</si>
  <si>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</si>
  <si>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</si>
  <si>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</si>
  <si>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</si>
  <si>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</si>
  <si>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</si>
  <si>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</si>
  <si>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</si>
  <si>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</si>
  <si>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</si>
  <si>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</si>
  <si>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</si>
  <si>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</si>
  <si>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</si>
  <si>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</si>
  <si>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</si>
  <si>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</si>
  <si>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</si>
  <si>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</si>
  <si>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</si>
  <si>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</si>
  <si>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</si>
  <si>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</si>
  <si>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</si>
  <si>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</si>
  <si>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</si>
  <si>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</si>
  <si>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</si>
  <si>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</si>
  <si>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</si>
  <si>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</si>
  <si>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</si>
  <si>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</si>
  <si>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</si>
  <si>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</si>
  <si>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</si>
  <si>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</si>
  <si>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</si>
  <si>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</si>
  <si>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</si>
  <si>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</si>
  <si>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</si>
  <si>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</si>
  <si>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</si>
  <si>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</si>
  <si>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</si>
  <si>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</si>
  <si>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</si>
  <si>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</si>
  <si>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</si>
  <si>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</si>
  <si>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</si>
  <si>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</si>
  <si>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</si>
  <si>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</si>
  <si>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</si>
  <si>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</si>
  <si>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</si>
  <si>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</si>
  <si>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</si>
  <si>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</si>
  <si>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</si>
  <si>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</si>
  <si>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</si>
  <si>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</si>
  <si>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</si>
  <si>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</si>
  <si>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</si>
  <si>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</si>
  <si>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</si>
  <si>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</si>
  <si>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</si>
  <si>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</si>
  <si>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</si>
  <si>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</si>
  <si>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</si>
  <si>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</si>
  <si>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</si>
  <si>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</si>
  <si>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</si>
  <si>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</si>
  <si>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</si>
  <si>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</si>
  <si>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</si>
  <si>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</si>
  <si>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</si>
  <si>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</si>
  <si>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</si>
  <si>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</si>
  <si>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</si>
  <si>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</si>
  <si>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</si>
  <si>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</si>
  <si>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</si>
  <si>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</si>
  <si>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</si>
  <si>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</si>
  <si>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</si>
  <si>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</si>
  <si>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</si>
  <si>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</si>
  <si>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</si>
  <si>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</si>
  <si>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</si>
  <si>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</si>
  <si>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</si>
  <si>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</si>
  <si>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</si>
  <si>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</si>
  <si>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</si>
  <si>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</si>
  <si>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</si>
  <si>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</si>
  <si>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</si>
  <si>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</si>
  <si>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</si>
  <si>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</si>
  <si>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</si>
  <si>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</si>
  <si>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</si>
  <si>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</si>
  <si>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</si>
  <si>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</si>
  <si>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</si>
  <si>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</si>
  <si>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</si>
  <si>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</si>
  <si>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</si>
  <si>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</si>
  <si>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</si>
  <si>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</si>
  <si>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</si>
  <si>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</si>
  <si>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</si>
  <si>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</si>
  <si>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</si>
  <si>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</si>
  <si>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</si>
  <si>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</si>
  <si>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</si>
  <si>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</si>
  <si>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</si>
  <si>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</si>
  <si>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</si>
  <si>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</si>
  <si>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</si>
  <si>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</si>
  <si>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</si>
  <si>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</si>
  <si>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</si>
  <si>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</si>
  <si>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</si>
  <si>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</si>
  <si>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</si>
  <si>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</si>
  <si>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</si>
  <si>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</si>
  <si>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</si>
  <si>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</si>
  <si>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</si>
  <si>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</si>
  <si>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</si>
  <si>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</si>
  <si>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</si>
  <si>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</si>
  <si>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</si>
  <si>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</si>
  <si>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</si>
  <si>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</si>
  <si>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</si>
  <si>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</si>
  <si>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</si>
  <si>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</si>
  <si>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</si>
  <si>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</si>
  <si>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</si>
  <si>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</si>
  <si>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</si>
  <si>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</si>
  <si>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</si>
  <si>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</si>
  <si>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</si>
  <si>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</si>
  <si>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</si>
  <si>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</si>
  <si>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</si>
  <si>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</si>
  <si>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</si>
  <si>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</si>
  <si>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</si>
  <si>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</si>
  <si>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</si>
  <si>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</si>
  <si>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</si>
  <si>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</si>
  <si>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</si>
  <si>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</si>
  <si>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</si>
  <si>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</si>
  <si>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</si>
  <si>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</si>
  <si>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</si>
  <si>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</si>
  <si>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</si>
  <si>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</si>
  <si>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</si>
  <si>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</si>
  <si>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</si>
  <si>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</si>
  <si>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</si>
  <si>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</si>
  <si>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</si>
  <si>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</si>
  <si>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</si>
  <si>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</si>
  <si>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</si>
  <si>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</si>
  <si>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</si>
  <si>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</si>
  <si>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</si>
  <si>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</si>
  <si>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</si>
  <si>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</si>
  <si>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</si>
  <si>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</si>
  <si>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</si>
  <si>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</si>
  <si>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</si>
  <si>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</si>
  <si>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</si>
  <si>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</si>
  <si>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</si>
  <si>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</si>
  <si>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</si>
  <si>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</si>
  <si>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</si>
  <si>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</si>
  <si>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</si>
  <si>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</si>
  <si>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</si>
  <si>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</si>
  <si>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</si>
  <si>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</si>
  <si>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</si>
  <si>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</si>
  <si>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</si>
  <si>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</si>
  <si>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</si>
  <si>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</si>
  <si>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</si>
  <si>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</si>
  <si>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</si>
  <si>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</si>
  <si>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</si>
  <si>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</si>
  <si>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</si>
  <si>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</si>
  <si>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</si>
  <si>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</si>
  <si>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</si>
  <si>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</si>
  <si>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</si>
  <si>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</si>
  <si>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</si>
  <si>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</si>
  <si>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</si>
  <si>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</si>
  <si>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</si>
  <si>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</si>
  <si>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</si>
  <si>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</si>
  <si>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</si>
  <si>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</si>
  <si>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</si>
  <si>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</si>
  <si>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</si>
  <si>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</si>
  <si>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</si>
  <si>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</si>
  <si>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</si>
  <si>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</si>
  <si>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</si>
  <si>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</si>
  <si>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</si>
  <si>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</si>
  <si>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</si>
  <si>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</si>
  <si>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</si>
  <si>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</si>
  <si>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</si>
  <si>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</si>
  <si>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</si>
  <si>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</si>
  <si>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</si>
  <si>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</si>
  <si>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</si>
  <si>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</si>
  <si>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</si>
  <si>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</si>
  <si>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</si>
  <si>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</si>
  <si>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</si>
  <si>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</si>
  <si>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</si>
  <si>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</si>
  <si>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</si>
  <si>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</si>
  <si>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</si>
  <si>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</si>
  <si>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</si>
  <si>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</si>
  <si>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</si>
  <si>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</si>
  <si>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</si>
  <si>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</si>
  <si>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</si>
  <si>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</si>
  <si>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</si>
  <si>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</si>
  <si>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</si>
  <si>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</si>
  <si>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</si>
  <si>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</si>
  <si>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</si>
  <si>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</si>
  <si>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</si>
  <si>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</si>
  <si>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</si>
  <si>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</si>
  <si>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</si>
  <si>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</si>
  <si>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</si>
  <si>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</si>
  <si>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</si>
  <si>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</si>
  <si>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</si>
  <si>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</si>
  <si>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</si>
  <si>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</si>
  <si>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</si>
  <si>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</si>
  <si>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</si>
  <si>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</si>
  <si>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</si>
  <si>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</si>
  <si>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</si>
  <si>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</si>
  <si>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</si>
  <si>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</si>
  <si>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</si>
  <si>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</si>
  <si>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</si>
  <si>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</si>
  <si>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</si>
  <si>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</si>
  <si>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</si>
  <si>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</si>
  <si>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</si>
  <si>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</si>
  <si>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</si>
  <si>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</si>
  <si>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</si>
  <si>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</si>
  <si>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</si>
  <si>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</si>
  <si>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</si>
  <si>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</si>
  <si>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</si>
  <si>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</si>
  <si>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</si>
  <si>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</si>
  <si>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</si>
  <si>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</si>
  <si>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</si>
  <si>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</si>
  <si>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</si>
  <si>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</si>
  <si>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</si>
  <si>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</si>
  <si>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</si>
  <si>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</si>
  <si>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</si>
  <si>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</si>
  <si>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</si>
  <si>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</si>
  <si>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</si>
  <si>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</si>
  <si>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</si>
  <si>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</si>
  <si>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</si>
  <si>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</si>
  <si>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</si>
  <si>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</si>
  <si>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</si>
  <si>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</si>
  <si>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</si>
  <si>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</si>
  <si>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</si>
  <si>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</si>
  <si>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</si>
  <si>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</si>
  <si>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</si>
  <si>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</si>
  <si>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</si>
  <si>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</si>
  <si>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</si>
  <si>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</si>
  <si>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</si>
  <si>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</si>
  <si>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</si>
  <si>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</si>
  <si>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</si>
  <si>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</si>
  <si>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</si>
  <si>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</si>
  <si>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</si>
  <si>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</si>
  <si>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</si>
  <si>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</si>
  <si>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</si>
  <si>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</si>
  <si>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</si>
  <si>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</si>
  <si>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</si>
  <si>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</si>
  <si>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</si>
  <si>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</si>
  <si>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</si>
  <si>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</si>
  <si>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</si>
  <si>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</si>
  <si>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</si>
  <si>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</si>
  <si>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</si>
  <si>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</si>
  <si>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</si>
  <si>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</si>
  <si>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</si>
  <si>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</si>
  <si>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</si>
  <si>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</si>
  <si>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</si>
  <si>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</si>
  <si>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</si>
  <si>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</si>
  <si>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</si>
  <si>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</si>
  <si>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</si>
  <si>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</si>
  <si>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</si>
  <si>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</si>
  <si>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</si>
  <si>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</si>
  <si>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</si>
  <si>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</si>
  <si>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</si>
  <si>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</si>
  <si>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</si>
  <si>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</si>
  <si>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</si>
  <si>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</si>
  <si>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</si>
  <si>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</si>
  <si>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</si>
  <si>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</si>
  <si>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</si>
  <si>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</si>
  <si>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</si>
  <si>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</si>
  <si>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</si>
  <si>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</si>
  <si>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</si>
  <si>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</si>
  <si>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</si>
  <si>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</si>
  <si>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</si>
  <si>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</si>
  <si>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</si>
  <si>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</si>
  <si>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</si>
  <si>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</si>
  <si>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</si>
  <si>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</si>
  <si>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</si>
  <si>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</si>
  <si>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</si>
  <si>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</si>
  <si>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</si>
  <si>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</si>
  <si>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</si>
  <si>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</si>
  <si>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</si>
  <si>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</si>
  <si>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</si>
  <si>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</si>
  <si>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</si>
  <si>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</si>
  <si>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</si>
  <si>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</si>
  <si>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</si>
  <si>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</si>
  <si>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</si>
  <si>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</si>
  <si>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</si>
  <si>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</si>
  <si>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</si>
  <si>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</si>
  <si>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</si>
  <si>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</si>
  <si>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</si>
  <si>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</si>
  <si>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</si>
  <si>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</si>
  <si>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</si>
  <si>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</si>
  <si>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</si>
  <si>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</si>
  <si>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</si>
  <si>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</si>
  <si>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</si>
  <si>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</si>
  <si>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</si>
  <si>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</si>
  <si>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</si>
  <si>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</si>
  <si>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</si>
  <si>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</si>
  <si>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</si>
  <si>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</si>
  <si>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</si>
  <si>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</si>
  <si>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</si>
  <si>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</si>
  <si>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</si>
  <si>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</si>
  <si>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</si>
  <si>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</si>
  <si>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</si>
  <si>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</si>
  <si>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</si>
  <si>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</si>
  <si>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</si>
  <si>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</si>
  <si>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</si>
  <si>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</si>
  <si>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</si>
  <si>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</si>
  <si>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</si>
  <si>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</si>
  <si>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</si>
  <si>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</si>
  <si>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</si>
  <si>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</si>
  <si>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</si>
  <si>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</si>
  <si>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</si>
  <si>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</si>
  <si>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</si>
  <si>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</si>
  <si>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</si>
  <si>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</si>
  <si>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</si>
  <si>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</si>
  <si>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</si>
  <si>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</si>
  <si>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</si>
  <si>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</si>
  <si>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</si>
  <si>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</si>
  <si>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</si>
  <si>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</si>
  <si>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</si>
  <si>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</si>
  <si>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</si>
  <si>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</si>
  <si>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</si>
  <si>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</si>
  <si>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</si>
  <si>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</si>
  <si>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</si>
  <si>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</si>
  <si>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</si>
  <si>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</si>
  <si>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</si>
  <si>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</si>
  <si>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</si>
  <si>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</si>
  <si>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</si>
  <si>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</si>
  <si>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</si>
  <si>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</si>
  <si>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</si>
  <si>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</si>
  <si>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</si>
  <si>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</si>
  <si>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</si>
  <si>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</si>
  <si>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</si>
  <si>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</si>
  <si>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</si>
  <si>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</si>
  <si>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</si>
  <si>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</si>
  <si>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</si>
  <si>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</si>
  <si>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</si>
  <si>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</si>
  <si>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</si>
  <si>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</si>
  <si>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</si>
  <si>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</si>
  <si>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</si>
  <si>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</si>
  <si>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</si>
  <si>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</si>
  <si>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</si>
  <si>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</si>
  <si>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</si>
  <si>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</si>
  <si>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</si>
  <si>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</si>
  <si>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</si>
  <si>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</si>
  <si>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</si>
  <si>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</si>
  <si>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</si>
  <si>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</si>
  <si>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</si>
  <si>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</si>
  <si>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</si>
  <si>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</si>
  <si>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</si>
  <si>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</si>
  <si>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</si>
  <si>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</si>
  <si>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</si>
  <si>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</si>
  <si>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</si>
  <si>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</si>
  <si>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</si>
  <si>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</si>
  <si>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</si>
  <si>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</si>
  <si>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</si>
  <si>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</si>
  <si>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</si>
  <si>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</si>
  <si>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</si>
  <si>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</si>
  <si>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</si>
  <si>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</si>
  <si>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</si>
  <si>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</si>
  <si>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</si>
  <si>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</si>
  <si>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</si>
  <si>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</si>
  <si>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</si>
  <si>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</si>
  <si>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</si>
  <si>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</si>
  <si>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</si>
  <si>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</si>
  <si>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</si>
  <si>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</si>
  <si>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</si>
  <si>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</si>
  <si>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</si>
  <si>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</si>
  <si>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</si>
  <si>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</si>
  <si>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</si>
  <si>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</si>
  <si>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</si>
  <si>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</si>
  <si>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</si>
  <si>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</si>
  <si>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</si>
  <si>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</si>
  <si>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</si>
  <si>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</si>
  <si>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</si>
  <si>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</si>
  <si>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</si>
  <si>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</si>
  <si>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</si>
  <si>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</si>
  <si>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</si>
  <si>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</si>
  <si>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</si>
  <si>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</si>
  <si>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</si>
  <si>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</si>
  <si>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</si>
  <si>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</si>
  <si>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</si>
  <si>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</si>
  <si>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</si>
  <si>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</si>
  <si>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</si>
  <si>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</si>
  <si>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</si>
  <si>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</si>
  <si>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</si>
  <si>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</si>
  <si>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</si>
  <si>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</si>
  <si>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</si>
  <si>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</si>
  <si>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</si>
  <si>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</si>
  <si>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</si>
  <si>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</si>
  <si>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</si>
  <si>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</si>
  <si>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</si>
  <si>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</si>
  <si>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</si>
  <si>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</si>
  <si>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</si>
  <si>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</si>
  <si>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</si>
  <si>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</si>
  <si>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</si>
  <si>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</si>
  <si>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</si>
  <si>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</si>
  <si>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</si>
  <si>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</si>
  <si>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</si>
  <si>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</si>
  <si>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</si>
  <si>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</si>
  <si>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</si>
  <si>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</si>
  <si>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</si>
  <si>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</si>
  <si>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</si>
  <si>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</si>
  <si>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</si>
  <si>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</si>
  <si>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</si>
  <si>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</si>
  <si>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</si>
  <si>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</si>
  <si>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</si>
  <si>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</si>
  <si>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</si>
  <si>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</si>
  <si>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</si>
  <si>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</si>
  <si>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</si>
  <si>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</si>
  <si>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</si>
  <si>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</si>
  <si>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</si>
  <si>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</si>
  <si>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</si>
  <si>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</si>
  <si>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</si>
  <si>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</si>
  <si>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</si>
  <si>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</si>
  <si>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</si>
  <si>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</si>
  <si>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</si>
  <si>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</si>
  <si>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</si>
  <si>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</si>
  <si>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</si>
  <si>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</si>
  <si>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</si>
  <si>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</si>
  <si>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</si>
  <si>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</si>
  <si>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</si>
  <si>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</si>
  <si>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</si>
  <si>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</si>
  <si>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</si>
  <si>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</si>
  <si>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</si>
  <si>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</si>
  <si>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</si>
  <si>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</si>
  <si>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</si>
  <si>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</si>
  <si>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</si>
  <si>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</si>
  <si>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</si>
  <si>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</si>
  <si>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</si>
  <si>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</si>
  <si>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</si>
  <si>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</si>
  <si>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</si>
  <si>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</si>
  <si>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</si>
  <si>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</si>
  <si>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</si>
  <si>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</si>
  <si>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</si>
  <si>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</si>
  <si>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</si>
  <si>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</si>
  <si>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</si>
  <si>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</si>
  <si>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</si>
  <si>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</si>
  <si>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</si>
  <si>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</si>
  <si>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</si>
  <si>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</si>
  <si>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</si>
  <si>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</si>
  <si>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</si>
  <si>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</si>
  <si>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</si>
  <si>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</si>
  <si>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</si>
  <si>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</si>
  <si>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</si>
  <si>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</si>
  <si>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</si>
  <si>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</si>
  <si>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</si>
  <si>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</si>
  <si>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</si>
  <si>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</si>
  <si>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</si>
  <si>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</si>
  <si>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</si>
  <si>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</si>
  <si>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</si>
  <si>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</si>
  <si>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</si>
  <si>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</si>
  <si>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</si>
  <si>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</si>
  <si>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</si>
  <si>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</si>
  <si>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</si>
  <si>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</si>
  <si>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</si>
  <si>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</si>
  <si>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</si>
  <si>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</si>
  <si>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</si>
  <si>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</si>
  <si>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</si>
  <si>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</si>
  <si>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</si>
  <si>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</si>
  <si>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</si>
  <si>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</si>
  <si>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</si>
  <si>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</si>
  <si>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</si>
  <si>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</si>
  <si>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</si>
  <si>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</si>
  <si>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</si>
  <si>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</si>
  <si>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</si>
  <si>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</si>
  <si>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</si>
  <si>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</si>
  <si>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</si>
  <si>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</si>
  <si>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</si>
  <si>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</si>
  <si>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</si>
  <si>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</si>
  <si>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</si>
  <si>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</si>
  <si>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</si>
  <si>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</si>
  <si>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</si>
  <si>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</si>
  <si>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</si>
  <si>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</si>
  <si>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</si>
  <si>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</si>
  <si>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</si>
  <si>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</si>
  <si>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</si>
  <si>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</si>
  <si>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</si>
  <si>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</si>
  <si>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</si>
  <si>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</si>
  <si>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</si>
  <si>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</si>
  <si>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</si>
  <si>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</si>
  <si>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</si>
  <si>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</si>
  <si>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</si>
  <si>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</si>
  <si>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</si>
  <si>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</si>
  <si>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</si>
  <si>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</si>
  <si>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</si>
  <si>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</si>
  <si>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</si>
  <si>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</si>
  <si>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</si>
  <si>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</si>
  <si>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</si>
  <si>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</si>
  <si>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</si>
  <si>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</si>
  <si>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</si>
  <si>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</si>
  <si>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</si>
  <si>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</si>
  <si>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</si>
  <si>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</si>
  <si>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</si>
  <si>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</si>
  <si>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</si>
  <si>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</si>
  <si>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</si>
  <si>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</si>
  <si>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</si>
  <si>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</si>
  <si>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</si>
  <si>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</si>
  <si>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</si>
  <si>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</si>
  <si>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</si>
  <si>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</si>
  <si>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</si>
  <si>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</si>
  <si>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</si>
  <si>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</si>
  <si>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</si>
  <si>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</si>
  <si>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</si>
  <si>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</si>
  <si>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</si>
  <si>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</si>
  <si>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</si>
  <si>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</si>
  <si>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</si>
  <si>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</si>
  <si>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</si>
  <si>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</si>
  <si>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</si>
  <si>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</si>
  <si>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</si>
  <si>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</si>
  <si>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</si>
  <si>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</si>
  <si>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</si>
  <si>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</si>
  <si>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</si>
  <si>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</si>
  <si>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</si>
  <si>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</si>
  <si>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</si>
  <si>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</si>
  <si>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</si>
  <si>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</si>
  <si>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</si>
  <si>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</si>
  <si>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</si>
  <si>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</si>
  <si>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</si>
  <si>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</si>
  <si>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</si>
  <si>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</si>
  <si>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</si>
  <si>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</si>
  <si>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</si>
  <si>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</si>
  <si>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</si>
  <si>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</si>
  <si>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</si>
  <si>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</si>
  <si>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</si>
  <si>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</si>
  <si>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</si>
  <si>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</si>
  <si>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</si>
  <si>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</si>
  <si>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</si>
  <si>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</si>
  <si>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</si>
  <si>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</si>
  <si>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</si>
  <si>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</si>
  <si>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</si>
  <si>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</si>
  <si>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</si>
  <si>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</si>
  <si>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</si>
  <si>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</si>
  <si>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</si>
  <si>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</si>
  <si>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</si>
  <si>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</si>
  <si>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</si>
  <si>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</si>
  <si>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</si>
  <si>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</si>
  <si>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</si>
  <si>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</si>
  <si>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</si>
  <si>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</si>
  <si>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</si>
  <si>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</si>
  <si>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</si>
  <si>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</si>
  <si>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</si>
  <si>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</si>
  <si>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</si>
  <si>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</si>
  <si>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</si>
  <si>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</si>
  <si>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</si>
  <si>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</si>
  <si>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</si>
  <si>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</si>
  <si>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</si>
  <si>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</si>
  <si>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</si>
  <si>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</si>
  <si>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</si>
  <si>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</si>
  <si>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</si>
  <si>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</si>
  <si>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</si>
  <si>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</si>
  <si>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</si>
  <si>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</si>
  <si>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</si>
  <si>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</si>
  <si>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</si>
  <si>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</si>
  <si>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</si>
  <si>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</si>
  <si>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</si>
  <si>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</si>
  <si>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</si>
  <si>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</si>
  <si>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</si>
  <si>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</si>
  <si>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</si>
  <si>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</si>
  <si>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</si>
  <si>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</si>
  <si>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</si>
  <si>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</si>
  <si>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</si>
  <si>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</si>
  <si>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</si>
  <si>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</si>
  <si>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</si>
  <si>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</si>
  <si>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</si>
  <si>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</si>
  <si>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</si>
  <si>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</si>
  <si>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</si>
  <si>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</si>
  <si>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</si>
  <si>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</si>
  <si>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</si>
  <si>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</si>
  <si>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</si>
  <si>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</si>
  <si>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</si>
  <si>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</si>
  <si>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</si>
  <si>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</si>
  <si>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</si>
  <si>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</si>
  <si>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</si>
  <si>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</si>
  <si>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</si>
  <si>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</si>
  <si>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</si>
  <si>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</si>
  <si>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</si>
  <si>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</si>
  <si>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</si>
  <si>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</si>
  <si>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</si>
  <si>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</si>
  <si>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</si>
  <si>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</si>
  <si>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</si>
  <si>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</si>
  <si>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</si>
  <si>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</si>
  <si>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</si>
  <si>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</si>
  <si>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</si>
  <si>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</si>
  <si>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</si>
  <si>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</si>
  <si>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</si>
  <si>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</si>
  <si>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</si>
  <si>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</si>
  <si>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</si>
  <si>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</si>
  <si>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</si>
  <si>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</si>
  <si>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</si>
  <si>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</si>
  <si>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</si>
  <si>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</si>
  <si>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</si>
  <si>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</si>
  <si>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</si>
  <si>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</si>
  <si>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</si>
  <si>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</si>
  <si>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</si>
  <si>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</si>
  <si>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</si>
  <si>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</si>
  <si>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</si>
  <si>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</si>
  <si>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</si>
  <si>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</si>
  <si>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</si>
  <si>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</si>
  <si>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</si>
  <si>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</si>
  <si>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</si>
  <si>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</si>
  <si>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</si>
  <si>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</si>
  <si>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</si>
  <si>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</si>
  <si>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</si>
  <si>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</si>
  <si>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</si>
  <si>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</si>
  <si>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</si>
  <si>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</si>
  <si>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</si>
  <si>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</si>
  <si>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</si>
  <si>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</si>
  <si>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</si>
  <si>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</si>
  <si>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</si>
  <si>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</si>
  <si>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</si>
  <si>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</si>
  <si>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</si>
  <si>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</si>
  <si>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</si>
  <si>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</si>
  <si>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</si>
  <si>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</si>
  <si>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</si>
  <si>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</si>
  <si>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</si>
  <si>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</si>
  <si>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</si>
  <si>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</si>
  <si>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</si>
  <si>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</si>
  <si>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</si>
  <si>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</si>
  <si>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</si>
  <si>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</si>
  <si>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</si>
  <si>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</si>
  <si>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</si>
  <si>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</si>
  <si>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</si>
  <si>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</si>
  <si>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</si>
  <si>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</si>
  <si>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</si>
  <si>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</si>
  <si>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</si>
  <si>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</si>
  <si>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</si>
  <si>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</si>
  <si>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</si>
  <si>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</si>
  <si>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</si>
  <si>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</si>
  <si>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</si>
  <si>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</si>
  <si>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</si>
  <si>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</si>
  <si>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</si>
  <si>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</si>
  <si>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</si>
  <si>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</si>
  <si>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</si>
  <si>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</si>
  <si>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</si>
  <si>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</si>
  <si>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</si>
  <si>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</si>
  <si>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</si>
  <si>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</si>
  <si>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</si>
  <si>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</si>
  <si>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</si>
  <si>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</si>
  <si>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</si>
  <si>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</si>
  <si>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</si>
  <si>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</si>
  <si>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</si>
  <si>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</si>
  <si>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</si>
  <si>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</si>
  <si>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</si>
  <si>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</si>
  <si>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</si>
  <si>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</si>
  <si>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</si>
  <si>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</si>
  <si>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</si>
  <si>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</si>
  <si>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</si>
  <si>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</si>
  <si>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</si>
  <si>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</si>
  <si>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</si>
  <si>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</si>
  <si>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</si>
  <si>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</si>
  <si>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</si>
  <si>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</si>
  <si>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</si>
  <si>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</si>
  <si>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</si>
  <si>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</si>
  <si>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</si>
  <si>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</si>
  <si>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</si>
  <si>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</si>
  <si>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</si>
  <si>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</si>
  <si>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</si>
  <si>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</si>
  <si>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</si>
  <si>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</si>
  <si>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</si>
  <si>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</si>
  <si>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</si>
  <si>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</si>
  <si>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</si>
  <si>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</si>
  <si>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</si>
  <si>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</si>
  <si>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</si>
  <si>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</si>
  <si>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</si>
  <si>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</si>
  <si>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</si>
  <si>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</si>
  <si>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</si>
  <si>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</si>
  <si>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</si>
  <si>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</si>
  <si>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</si>
  <si>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</si>
  <si>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</si>
  <si>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</si>
  <si>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</si>
  <si>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</si>
  <si>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</si>
  <si>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</si>
  <si>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</si>
  <si>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</si>
  <si>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</si>
  <si>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</si>
  <si>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</si>
  <si>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</si>
  <si>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</si>
  <si>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</si>
  <si>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</si>
  <si>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</si>
  <si>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</si>
  <si>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</si>
  <si>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</si>
  <si>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</si>
  <si>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</si>
  <si>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</si>
  <si>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</si>
  <si>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</si>
  <si>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</si>
  <si>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</si>
  <si>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</si>
  <si>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</si>
  <si>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</si>
  <si>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</si>
  <si>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</si>
  <si>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</si>
  <si>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</si>
  <si>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</si>
  <si>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</si>
  <si>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</si>
  <si>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</si>
  <si>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</si>
  <si>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</si>
  <si>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</si>
  <si>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</si>
  <si>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</si>
  <si>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</si>
  <si>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</si>
  <si>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</si>
  <si>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</si>
  <si>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</si>
  <si>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</si>
  <si>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</si>
  <si>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</si>
  <si>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</si>
  <si>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</si>
  <si>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</si>
  <si>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</si>
  <si>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</si>
  <si>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</si>
  <si>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</si>
  <si>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</si>
  <si>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</si>
  <si>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</si>
  <si>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</si>
  <si>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</si>
  <si>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</si>
  <si>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</si>
  <si>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</si>
  <si>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</si>
  <si>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</si>
  <si>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</si>
  <si>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</si>
  <si>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</si>
  <si>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</si>
  <si>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</si>
  <si>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</si>
  <si>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</si>
  <si>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</si>
  <si>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</si>
  <si>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</si>
  <si>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</si>
  <si>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</si>
  <si>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</si>
  <si>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</si>
  <si>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</si>
  <si>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</si>
  <si>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</si>
  <si>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</si>
  <si>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</si>
  <si>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</si>
  <si>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</si>
  <si>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</si>
  <si>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</si>
  <si>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</si>
  <si>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</si>
  <si>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</si>
  <si>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</si>
  <si>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</si>
  <si>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</si>
  <si>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</si>
  <si>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</si>
  <si>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</si>
  <si>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</si>
  <si>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</si>
  <si>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</si>
  <si>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</si>
  <si>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</si>
  <si>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</si>
  <si>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</si>
  <si>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</si>
  <si>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</si>
  <si>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</si>
  <si>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</si>
  <si>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</si>
  <si>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</si>
  <si>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</si>
  <si>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</si>
  <si>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</si>
  <si>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</si>
  <si>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</si>
  <si>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</si>
  <si>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</si>
  <si>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</si>
  <si>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</si>
  <si>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</si>
  <si>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</si>
  <si>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</si>
  <si>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</si>
  <si>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</si>
  <si>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</si>
  <si>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</si>
  <si>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</si>
  <si>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</si>
  <si>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</si>
  <si>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</si>
  <si>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</si>
  <si>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</si>
  <si>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</si>
  <si>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</si>
  <si>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</si>
  <si>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</si>
  <si>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</si>
  <si>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</si>
  <si>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</si>
  <si>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</si>
  <si>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</si>
  <si>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</si>
  <si>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</si>
  <si>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</si>
  <si>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</si>
  <si>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</si>
  <si>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</si>
  <si>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</si>
  <si>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</si>
  <si>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</si>
  <si>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</si>
  <si>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</si>
  <si>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</si>
  <si>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</si>
  <si>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</si>
  <si>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</si>
  <si>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</si>
  <si>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</si>
  <si>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</si>
  <si>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</si>
  <si>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</si>
  <si>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</si>
  <si>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</si>
  <si>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</si>
  <si>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</si>
  <si>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</si>
  <si>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</si>
  <si>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</si>
  <si>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</si>
  <si>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</si>
  <si>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</si>
  <si>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</si>
  <si>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</si>
  <si>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</si>
  <si>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</si>
  <si>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</si>
  <si>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</si>
  <si>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</si>
  <si>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</si>
  <si>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</si>
  <si>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</si>
  <si>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</si>
  <si>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</si>
  <si>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</si>
  <si>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</si>
  <si>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</si>
  <si>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</si>
  <si>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</si>
  <si>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</si>
  <si>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</si>
  <si>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</si>
  <si>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</si>
  <si>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</si>
  <si>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</si>
  <si>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</si>
  <si>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</si>
  <si>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</si>
  <si>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</si>
  <si>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</si>
  <si>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</si>
  <si>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</si>
  <si>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</si>
  <si>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</si>
  <si>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</si>
  <si>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</si>
  <si>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</si>
  <si>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</si>
  <si>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</si>
  <si>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</si>
  <si>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</si>
  <si>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</si>
  <si>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</si>
  <si>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</si>
  <si>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</si>
  <si>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</si>
  <si>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</si>
  <si>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</si>
  <si>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</si>
  <si>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</si>
  <si>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</si>
  <si>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</si>
  <si>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</si>
  <si>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</si>
  <si>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</si>
  <si>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</si>
  <si>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</si>
  <si>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</si>
  <si>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</si>
  <si>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</si>
  <si>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</si>
  <si>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</si>
  <si>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</si>
  <si>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</si>
  <si>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</si>
  <si>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</si>
  <si>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</si>
  <si>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</si>
  <si>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</si>
  <si>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</si>
  <si>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</si>
  <si>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</si>
  <si>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</si>
  <si>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</si>
  <si>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</si>
  <si>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</si>
  <si>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</si>
  <si>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</si>
  <si>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</si>
  <si>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</si>
  <si>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</si>
  <si>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</si>
  <si>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</si>
  <si>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</si>
  <si>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</si>
  <si>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</si>
  <si>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</si>
  <si>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</si>
  <si>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</si>
  <si>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</si>
  <si>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</si>
  <si>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</si>
  <si>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</si>
  <si>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</si>
  <si>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</si>
  <si>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</si>
  <si>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</si>
  <si>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</si>
  <si>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</si>
  <si>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</si>
  <si>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</si>
  <si>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</si>
  <si>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</si>
  <si>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</si>
  <si>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</si>
  <si>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</si>
  <si>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</si>
  <si>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</si>
  <si>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</si>
  <si>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</si>
  <si>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</si>
  <si>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</si>
  <si>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</si>
  <si>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</si>
  <si>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</si>
  <si>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</si>
  <si>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</si>
  <si>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</si>
  <si>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</si>
  <si>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</si>
  <si>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</si>
  <si>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</si>
  <si>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</si>
  <si>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</si>
  <si>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</si>
  <si>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</si>
  <si>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</si>
  <si>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</si>
  <si>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</si>
  <si>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</si>
  <si>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</si>
  <si>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</si>
  <si>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</si>
  <si>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</si>
  <si>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</si>
  <si>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</si>
  <si>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</si>
  <si>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</si>
  <si>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</si>
  <si>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</si>
  <si>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</si>
  <si>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</si>
  <si>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</si>
  <si>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</si>
  <si>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</si>
  <si>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</si>
  <si>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</si>
  <si>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</si>
  <si>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</si>
  <si>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</si>
  <si>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</si>
  <si>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</si>
  <si>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</si>
  <si>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</si>
  <si>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</si>
  <si>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</si>
  <si>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</si>
  <si>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</si>
  <si>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</si>
  <si>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</si>
  <si>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</si>
  <si>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</si>
  <si>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</si>
  <si>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</si>
  <si>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</si>
  <si>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</si>
  <si>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</si>
  <si>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</si>
  <si>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</si>
  <si>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</si>
  <si>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</si>
  <si>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</si>
  <si>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</si>
  <si>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</si>
  <si>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</si>
  <si>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</si>
  <si>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</si>
  <si>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</si>
  <si>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</si>
  <si>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</si>
  <si>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</si>
  <si>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</si>
  <si>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</si>
  <si>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</si>
  <si>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</si>
  <si>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</si>
  <si>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</si>
  <si>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</si>
  <si>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</si>
  <si>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</si>
  <si>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</si>
  <si>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</si>
  <si>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</si>
  <si>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</si>
  <si>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</si>
  <si>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</si>
  <si>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</si>
  <si>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</si>
  <si>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</si>
  <si>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</si>
  <si>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</si>
  <si>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</si>
  <si>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</si>
  <si>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</si>
  <si>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</si>
  <si>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</si>
  <si>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</si>
  <si>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</si>
  <si>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</si>
  <si>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</si>
  <si>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</si>
  <si>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</si>
  <si>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</si>
  <si>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</si>
  <si>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</si>
  <si>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</si>
  <si>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</si>
  <si>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</si>
  <si>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</si>
  <si>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</si>
  <si>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</si>
  <si>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</si>
  <si>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</si>
  <si>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</si>
  <si>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</si>
  <si>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</si>
  <si>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</si>
  <si>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</si>
  <si>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</si>
  <si>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</si>
  <si>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</si>
  <si>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</si>
  <si>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</si>
  <si>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</si>
  <si>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</si>
  <si>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</si>
  <si>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</si>
  <si>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</si>
  <si>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</si>
  <si>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</si>
  <si>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</si>
  <si>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</si>
  <si>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</si>
  <si>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</si>
  <si>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</si>
  <si>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</si>
  <si>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</si>
  <si>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</si>
  <si>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</si>
  <si>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</si>
  <si>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</si>
  <si>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</si>
  <si>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</si>
  <si>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</si>
  <si>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</si>
  <si>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</si>
  <si>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</si>
  <si>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</si>
  <si>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</si>
  <si>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</si>
  <si>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</si>
  <si>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</si>
  <si>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</si>
  <si>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</si>
  <si>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</si>
  <si>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</si>
  <si>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</si>
  <si>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</si>
  <si>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</si>
  <si>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</si>
  <si>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</si>
  <si>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</si>
  <si>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</si>
  <si>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</si>
  <si>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</si>
  <si>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</si>
  <si>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</si>
  <si>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</si>
  <si>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</si>
  <si>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</si>
  <si>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</si>
  <si>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</si>
  <si>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</si>
  <si>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</si>
  <si>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</si>
  <si>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</si>
  <si>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</si>
  <si>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</si>
  <si>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</si>
  <si>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</si>
  <si>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</si>
  <si>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</si>
  <si>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</si>
  <si>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</si>
  <si>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</si>
  <si>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</si>
  <si>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</si>
  <si>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</si>
  <si>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</si>
  <si>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</si>
  <si>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</si>
  <si>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</si>
  <si>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</si>
  <si>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</si>
  <si>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</si>
  <si>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</si>
  <si>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</si>
  <si>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</si>
  <si>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</si>
  <si>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</si>
  <si>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</si>
  <si>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</si>
  <si>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</si>
  <si>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</si>
  <si>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</si>
  <si>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</si>
  <si>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</si>
  <si>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</si>
  <si>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</si>
  <si>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</si>
  <si>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</si>
  <si>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</si>
  <si>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</si>
  <si>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</si>
  <si>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</si>
  <si>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</si>
  <si>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</si>
  <si>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</si>
  <si>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</si>
  <si>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</si>
  <si>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</si>
  <si>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</si>
  <si>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</si>
  <si>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</si>
  <si>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</si>
  <si>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</si>
  <si>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</si>
  <si>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</si>
  <si>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</si>
  <si>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</si>
  <si>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</si>
  <si>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</si>
  <si>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</si>
  <si>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</si>
  <si>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</si>
  <si>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</si>
  <si>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</si>
  <si>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</si>
  <si>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</si>
  <si>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</si>
  <si>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</si>
  <si>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</si>
  <si>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</si>
  <si>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</si>
  <si>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</si>
  <si>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</si>
  <si>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</si>
  <si>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</si>
  <si>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</si>
  <si>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</si>
  <si>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</si>
  <si>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</si>
  <si>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</si>
  <si>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</si>
  <si>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</si>
  <si>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</si>
  <si>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</si>
  <si>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</si>
  <si>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</si>
  <si>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</si>
  <si>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</si>
  <si>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</si>
  <si>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</si>
  <si>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</si>
  <si>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</si>
  <si>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</si>
  <si>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</si>
  <si>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</si>
  <si>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</si>
  <si>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</si>
  <si>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</si>
  <si>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</si>
  <si>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</si>
  <si>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</si>
  <si>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</si>
  <si>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</si>
  <si>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</si>
  <si>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</si>
  <si>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</si>
  <si>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</si>
  <si>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</si>
  <si>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</si>
  <si>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</si>
  <si>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</si>
  <si>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</si>
  <si>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</si>
  <si>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</si>
  <si>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</si>
  <si>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</si>
  <si>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</si>
  <si>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</si>
  <si>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</si>
  <si>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</si>
  <si>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</si>
  <si>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</si>
  <si>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</si>
  <si>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</si>
  <si>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</si>
  <si>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</si>
  <si>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</si>
  <si>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</si>
  <si>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</si>
  <si>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</si>
  <si>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</si>
  <si>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</si>
  <si>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</si>
  <si>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</si>
  <si>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</si>
  <si>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</si>
  <si>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</si>
  <si>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</si>
  <si>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</si>
  <si>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</si>
  <si>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</si>
  <si>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</si>
  <si>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</si>
  <si>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</si>
  <si>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</si>
  <si>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</si>
  <si>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</si>
  <si>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</si>
  <si>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</si>
  <si>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</si>
  <si>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</si>
  <si>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</si>
  <si>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</si>
  <si>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</si>
  <si>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</si>
  <si>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</si>
  <si>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</si>
  <si>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</si>
  <si>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</si>
  <si>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</si>
  <si>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</si>
  <si>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</si>
  <si>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</si>
  <si>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</si>
  <si>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</si>
  <si>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</si>
  <si>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</si>
  <si>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</si>
  <si>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</si>
  <si>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</si>
  <si>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</si>
  <si>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</si>
  <si>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</si>
  <si>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</si>
  <si>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</si>
  <si>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</si>
  <si>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</si>
  <si>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</si>
  <si>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</si>
  <si>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</si>
  <si>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</si>
  <si>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</si>
  <si>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</si>
  <si>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</si>
  <si>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</si>
  <si>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</si>
  <si>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</si>
  <si>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</si>
  <si>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</si>
  <si>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</si>
  <si>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</si>
  <si>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</si>
  <si>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</si>
  <si>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</si>
  <si>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</si>
  <si>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</si>
  <si>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</si>
  <si>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</si>
  <si>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</si>
  <si>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</si>
  <si>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</si>
  <si>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</si>
  <si>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</si>
  <si>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</si>
  <si>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</si>
  <si>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</si>
  <si>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</si>
  <si>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</si>
  <si>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</si>
  <si>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</si>
  <si>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</si>
  <si>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</si>
  <si>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</si>
  <si>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</si>
  <si>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</si>
  <si>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</si>
  <si>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</si>
  <si>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</si>
  <si>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</si>
  <si>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</si>
  <si>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</si>
  <si>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</si>
  <si>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</si>
  <si>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</si>
  <si>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</si>
  <si>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</si>
  <si>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</si>
  <si>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</si>
  <si>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</si>
  <si>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</si>
  <si>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</si>
  <si>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</si>
  <si>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</si>
  <si>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</si>
  <si>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</si>
  <si>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</si>
  <si>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</si>
  <si>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</si>
  <si>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</si>
  <si>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</si>
  <si>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</si>
  <si>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</si>
  <si>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</si>
  <si>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</si>
  <si>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</si>
  <si>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</si>
  <si>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</si>
  <si>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</si>
  <si>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</si>
  <si>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</si>
  <si>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</si>
  <si>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</si>
  <si>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</si>
  <si>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</si>
  <si>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</si>
  <si>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</si>
  <si>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</si>
  <si>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</si>
  <si>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</si>
  <si>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</si>
  <si>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</si>
  <si>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</si>
  <si>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</si>
  <si>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</si>
  <si>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</si>
  <si>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</si>
  <si>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</si>
  <si>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</si>
  <si>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</si>
  <si>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</si>
  <si>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</si>
  <si>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</si>
  <si>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</si>
  <si>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</si>
  <si>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</si>
  <si>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</si>
  <si>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</si>
  <si>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</si>
  <si>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</si>
  <si>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</si>
  <si>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</si>
  <si>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</si>
  <si>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</si>
  <si>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</si>
  <si>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</si>
  <si>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</si>
  <si>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</si>
  <si>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</si>
  <si>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</si>
  <si>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</si>
  <si>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</si>
  <si>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</si>
  <si>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</si>
  <si>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</si>
  <si>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</si>
  <si>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</si>
  <si>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</si>
  <si>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</si>
  <si>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</si>
  <si>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</si>
  <si>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</si>
  <si>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</si>
  <si>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</si>
  <si>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</si>
  <si>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</si>
  <si>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</si>
  <si>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</si>
  <si>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</si>
  <si>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</si>
  <si>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</si>
  <si>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</si>
  <si>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</si>
  <si>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</si>
  <si>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</si>
  <si>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</si>
  <si>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</si>
  <si>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</si>
  <si>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</si>
  <si>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</si>
  <si>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</si>
  <si>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</si>
  <si>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</si>
  <si>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</si>
  <si>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</si>
  <si>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</si>
  <si>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</si>
  <si>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</si>
  <si>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</si>
  <si>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</si>
  <si>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</si>
  <si>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</si>
  <si>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</si>
  <si>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</si>
  <si>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</si>
  <si>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</si>
  <si>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</si>
  <si>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</si>
  <si>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</si>
  <si>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</si>
  <si>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</si>
  <si>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</si>
  <si>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</si>
  <si>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</si>
  <si>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</si>
  <si>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</si>
  <si>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</si>
  <si>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</si>
  <si>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</si>
  <si>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</si>
  <si>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</si>
  <si>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</si>
  <si>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</si>
  <si>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</si>
  <si>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</si>
  <si>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</si>
  <si>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</si>
  <si>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</si>
  <si>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</si>
  <si>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</si>
  <si>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</si>
  <si>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</si>
  <si>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</si>
  <si>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</si>
  <si>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</si>
  <si>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</si>
  <si>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</si>
  <si>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</si>
  <si>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</si>
  <si>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</si>
  <si>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</si>
  <si>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</si>
  <si>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</si>
  <si>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</si>
  <si>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</si>
  <si>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</si>
  <si>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</si>
  <si>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</si>
  <si>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</si>
  <si>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</si>
  <si>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</si>
  <si>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</si>
  <si>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</si>
  <si>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</si>
  <si>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</si>
  <si>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</si>
  <si>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</si>
  <si>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</si>
  <si>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</si>
  <si>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</si>
  <si>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</si>
  <si>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</si>
  <si>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</si>
  <si>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</si>
  <si>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</si>
  <si>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</si>
  <si>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</si>
  <si>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</si>
  <si>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</si>
  <si>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</si>
  <si>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</si>
  <si>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</si>
  <si>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</si>
  <si>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</si>
  <si>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</si>
  <si>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</si>
  <si>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</si>
  <si>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</si>
  <si>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</si>
  <si>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</si>
  <si>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</si>
  <si>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</si>
  <si>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</si>
  <si>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</si>
  <si>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</si>
  <si>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</si>
  <si>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</si>
  <si>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</si>
  <si>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</si>
  <si>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</si>
  <si>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</si>
  <si>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</si>
  <si>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</si>
  <si>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</si>
  <si>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</si>
  <si>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</si>
  <si>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</si>
  <si>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</si>
  <si>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</si>
  <si>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</si>
  <si>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</si>
  <si>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</si>
  <si>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</si>
  <si>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</si>
  <si>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</si>
  <si>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</si>
  <si>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</si>
  <si>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</si>
  <si>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</si>
  <si>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</si>
  <si>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</si>
  <si>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</si>
  <si>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</si>
  <si>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</si>
  <si>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</si>
  <si>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</si>
  <si>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</si>
  <si>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</si>
  <si>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</si>
  <si>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</si>
  <si>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</si>
  <si>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</si>
  <si>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</si>
  <si>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</si>
  <si>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</si>
  <si>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</si>
  <si>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</si>
  <si>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</si>
  <si>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</si>
  <si>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</si>
  <si>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</si>
  <si>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</si>
  <si>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</si>
  <si>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</si>
  <si>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</si>
  <si>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</si>
  <si>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</si>
  <si>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</si>
  <si>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</si>
  <si>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</si>
  <si>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</si>
  <si>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</si>
  <si>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</si>
  <si>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</si>
  <si>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</si>
  <si>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</si>
  <si>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</si>
  <si>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</si>
  <si>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</si>
  <si>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</si>
  <si>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</si>
  <si>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</si>
  <si>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</si>
  <si>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</si>
  <si>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</si>
  <si>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</si>
  <si>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</si>
  <si>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</si>
  <si>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</si>
  <si>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</si>
  <si>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</si>
  <si>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</si>
  <si>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</si>
  <si>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</si>
  <si>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</si>
  <si>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</si>
  <si>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</si>
  <si>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</si>
  <si>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</si>
  <si>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</si>
  <si>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</si>
  <si>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</si>
  <si>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</si>
  <si>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</si>
  <si>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</si>
  <si>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</si>
  <si>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</si>
  <si>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</si>
  <si>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</si>
  <si>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</si>
  <si>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</si>
  <si>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</si>
  <si>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</si>
  <si>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</si>
  <si>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</si>
  <si>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</si>
  <si>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</si>
  <si>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</si>
  <si>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</si>
  <si>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</si>
  <si>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</si>
  <si>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</si>
  <si>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</si>
  <si>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</si>
  <si>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</si>
  <si>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</si>
  <si>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</si>
  <si>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</si>
  <si>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</si>
  <si>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</si>
  <si>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</si>
  <si>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</si>
  <si>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</si>
  <si>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</si>
  <si>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</si>
  <si>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</si>
  <si>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</si>
  <si>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</si>
  <si>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</si>
  <si>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</si>
  <si>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</si>
  <si>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</si>
  <si>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</si>
  <si>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</si>
  <si>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</si>
  <si>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</si>
  <si>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</si>
  <si>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</si>
  <si>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</si>
  <si>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</si>
  <si>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</si>
  <si>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</si>
  <si>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</si>
  <si>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</si>
  <si>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</si>
  <si>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</si>
  <si>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</si>
  <si>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</si>
  <si>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</si>
  <si>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</si>
  <si>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</si>
  <si>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</si>
  <si>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</si>
  <si>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</si>
  <si>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</si>
  <si>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</si>
  <si>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</si>
  <si>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</si>
  <si>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</si>
  <si>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</si>
  <si>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</si>
  <si>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</si>
  <si>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</si>
  <si>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</si>
  <si>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</si>
  <si>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</si>
  <si>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</si>
  <si>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</si>
  <si>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</si>
  <si>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</si>
  <si>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</si>
  <si>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</si>
  <si>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</si>
  <si>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</si>
  <si>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</si>
  <si>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</si>
  <si>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</si>
  <si>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</si>
  <si>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</si>
  <si>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</si>
  <si>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</si>
  <si>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</si>
  <si>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</si>
  <si>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</si>
  <si>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</si>
  <si>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</si>
  <si>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</si>
  <si>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</si>
  <si>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</si>
  <si>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</si>
  <si>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</si>
  <si>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</si>
  <si>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</si>
  <si>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</si>
  <si>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</si>
  <si>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</si>
  <si>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</si>
  <si>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</si>
  <si>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</si>
  <si>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</si>
  <si>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</si>
  <si>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</si>
  <si>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</si>
  <si>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</si>
  <si>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</si>
  <si>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</si>
  <si>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</si>
  <si>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</si>
  <si>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</si>
  <si>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</si>
  <si>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</si>
  <si>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</si>
  <si>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</si>
  <si>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</si>
  <si>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</si>
  <si>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</si>
  <si>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</si>
  <si>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</si>
  <si>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</si>
  <si>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</si>
  <si>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</si>
  <si>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</si>
  <si>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</si>
  <si>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</si>
  <si>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</si>
  <si>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</si>
  <si>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</si>
  <si>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</si>
  <si>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</si>
  <si>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</si>
  <si>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</si>
  <si>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</si>
  <si>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</si>
  <si>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</si>
  <si>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</si>
  <si>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</si>
  <si>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</si>
  <si>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</si>
  <si>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</si>
  <si>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</si>
  <si>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</si>
  <si>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</si>
  <si>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</si>
  <si>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</si>
  <si>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</si>
  <si>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</si>
  <si>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</si>
  <si>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</si>
  <si>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</si>
  <si>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</si>
  <si>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</si>
  <si>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</si>
  <si>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</si>
  <si>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</si>
  <si>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</si>
  <si>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</si>
  <si>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</si>
  <si>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</si>
  <si>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</si>
  <si>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</si>
  <si>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</si>
  <si>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</si>
  <si>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</si>
  <si>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</si>
  <si>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</si>
  <si>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</si>
  <si>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</si>
  <si>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</si>
  <si>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</si>
  <si>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</si>
  <si>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</si>
  <si>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</si>
  <si>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</si>
  <si>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</si>
  <si>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</si>
  <si>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</si>
  <si>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</si>
  <si>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</si>
  <si>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</si>
  <si>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</si>
  <si>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</si>
  <si>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</si>
  <si>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</si>
  <si>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</si>
  <si>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</si>
  <si>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</si>
  <si>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</si>
  <si>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</si>
  <si>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</si>
  <si>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</si>
  <si>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</si>
  <si>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</si>
  <si>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</si>
  <si>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</si>
  <si>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</si>
  <si>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</si>
  <si>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</si>
  <si>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</si>
  <si>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</si>
  <si>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</si>
  <si>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</si>
  <si>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</si>
  <si>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</si>
  <si>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</si>
  <si>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</si>
  <si>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</si>
  <si>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</si>
  <si>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</si>
  <si>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</si>
  <si>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</si>
  <si>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</si>
  <si>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</si>
  <si>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</si>
  <si>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</si>
  <si>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</si>
  <si>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</si>
  <si>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</si>
  <si>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</si>
  <si>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</si>
  <si>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</si>
  <si>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</si>
  <si>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</si>
  <si>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</si>
  <si>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</si>
  <si>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</si>
  <si>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</si>
  <si>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</si>
  <si>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</si>
  <si>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</si>
  <si>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</si>
  <si>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</si>
  <si>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</si>
  <si>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</si>
  <si>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</si>
  <si>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</si>
  <si>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</si>
  <si>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</si>
  <si>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</si>
  <si>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</si>
  <si>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</si>
  <si>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</si>
  <si>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</si>
  <si>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</si>
  <si>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</si>
  <si>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</si>
  <si>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</si>
  <si>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</si>
  <si>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</si>
  <si>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</si>
  <si>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</si>
  <si>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</si>
  <si>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</si>
  <si>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</si>
  <si>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</si>
  <si>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</si>
  <si>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</si>
  <si>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</si>
  <si>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</si>
  <si>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</si>
  <si>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</si>
  <si>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</si>
  <si>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</si>
  <si>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</si>
  <si>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</si>
  <si>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</si>
  <si>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</si>
  <si>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</si>
  <si>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</si>
  <si>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</si>
  <si>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</si>
  <si>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</si>
  <si>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</si>
  <si>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</si>
  <si>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</si>
  <si>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</si>
  <si>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</si>
  <si>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</si>
  <si>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</si>
  <si>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</si>
  <si>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</si>
  <si>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</si>
  <si>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</si>
  <si>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</si>
  <si>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</si>
  <si>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</si>
  <si>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</si>
  <si>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</si>
  <si>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</si>
  <si>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</si>
  <si>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</si>
  <si>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</si>
  <si>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</si>
  <si>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</si>
  <si>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</si>
  <si>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</si>
  <si>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</si>
  <si>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</si>
  <si>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</si>
  <si>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</si>
  <si>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</si>
  <si>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</si>
  <si>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</si>
  <si>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</si>
  <si>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</si>
  <si>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</si>
  <si>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</si>
  <si>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</si>
  <si>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</si>
  <si>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</si>
  <si>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</si>
  <si>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</si>
  <si>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</si>
  <si>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</si>
  <si>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</si>
  <si>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</si>
  <si>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</si>
  <si>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</si>
  <si>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</si>
  <si>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</si>
  <si>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</si>
  <si>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</si>
  <si>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</si>
  <si>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</si>
  <si>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</si>
  <si>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</si>
  <si>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</si>
  <si>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</si>
  <si>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</si>
  <si>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</si>
  <si>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</si>
  <si>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</si>
  <si>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</si>
  <si>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</si>
  <si>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</si>
  <si>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</si>
  <si>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</si>
  <si>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</si>
  <si>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</si>
  <si>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</si>
  <si>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</si>
  <si>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</si>
  <si>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</si>
  <si>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</si>
  <si>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</si>
  <si>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</si>
  <si>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</si>
  <si>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</si>
  <si>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</si>
  <si>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</si>
  <si>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</si>
  <si>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</si>
  <si>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</si>
  <si>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</si>
  <si>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</si>
  <si>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</si>
  <si>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</si>
  <si>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</si>
  <si>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</si>
  <si>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</si>
  <si>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</si>
  <si>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</si>
  <si>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</si>
  <si>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</si>
  <si>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</si>
  <si>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</si>
  <si>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</si>
  <si>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</si>
  <si>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</si>
  <si>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</si>
  <si>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</si>
  <si>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</si>
  <si>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</si>
  <si>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</si>
  <si>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</si>
  <si>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</si>
  <si>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</si>
  <si>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</si>
  <si>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</si>
  <si>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</si>
  <si>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</si>
  <si>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</si>
  <si>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</si>
  <si>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</si>
  <si>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</si>
  <si>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</si>
  <si>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</si>
  <si>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</si>
  <si>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</si>
  <si>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</si>
  <si>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</si>
  <si>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</si>
  <si>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</si>
  <si>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</si>
  <si>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</si>
  <si>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</si>
  <si>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</si>
  <si>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</si>
  <si>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</si>
  <si>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</si>
  <si>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</si>
  <si>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</si>
  <si>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</si>
  <si>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</si>
  <si>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</si>
  <si>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</si>
  <si>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</si>
  <si>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</si>
  <si>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</si>
  <si>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</si>
  <si>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</si>
  <si>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</si>
  <si>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</si>
  <si>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</si>
  <si>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</si>
  <si>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</si>
  <si>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</si>
  <si>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</si>
  <si>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</si>
  <si>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</si>
  <si>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</si>
  <si>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</si>
  <si>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</si>
  <si>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</si>
  <si>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</si>
  <si>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</si>
  <si>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</si>
  <si>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</si>
  <si>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</si>
  <si>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</si>
  <si>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</si>
  <si>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</si>
  <si>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</si>
  <si>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</si>
  <si>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</si>
  <si>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</si>
  <si>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</si>
  <si>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</si>
  <si>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</si>
  <si>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</si>
  <si>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</si>
  <si>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</si>
  <si>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</si>
  <si>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</si>
  <si>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</si>
  <si>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</si>
  <si>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</si>
  <si>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</si>
  <si>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</si>
  <si>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</si>
  <si>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</si>
  <si>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</si>
  <si>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</si>
  <si>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</si>
  <si>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</si>
  <si>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</si>
  <si>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</si>
  <si>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</si>
  <si>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</si>
  <si>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</si>
  <si>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</si>
  <si>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</si>
  <si>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</si>
  <si>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</si>
  <si>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</si>
  <si>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</si>
  <si>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</si>
  <si>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</si>
  <si>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</si>
  <si>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</si>
  <si>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</si>
  <si>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</si>
  <si>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</si>
  <si>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</si>
  <si>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</si>
  <si>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</si>
  <si>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</si>
  <si>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</si>
  <si>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</si>
  <si>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</si>
  <si>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</si>
  <si>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</si>
  <si>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</si>
  <si>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</si>
  <si>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</si>
  <si>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</si>
  <si>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</si>
  <si>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</si>
  <si>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</si>
  <si>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</si>
  <si>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</si>
  <si>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</si>
  <si>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</si>
  <si>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</si>
  <si>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</si>
  <si>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</si>
  <si>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</si>
  <si>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</si>
  <si>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</si>
  <si>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</si>
  <si>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</si>
  <si>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</si>
  <si>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</si>
  <si>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</si>
  <si>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</si>
  <si>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</si>
  <si>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</si>
  <si>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</si>
  <si>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</si>
  <si>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</si>
  <si>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</si>
  <si>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</si>
  <si>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</si>
  <si>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</si>
  <si>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</si>
  <si>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</si>
  <si>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</si>
  <si>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</si>
  <si>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</si>
  <si>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</si>
  <si>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</si>
  <si>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</si>
  <si>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</si>
  <si>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</si>
  <si>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</si>
  <si>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</si>
  <si>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</si>
  <si>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</si>
  <si>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</si>
  <si>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</si>
  <si>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</si>
  <si>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</si>
  <si>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</si>
  <si>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</si>
  <si>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</si>
  <si>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</si>
  <si>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</si>
  <si>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</si>
  <si>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</si>
  <si>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</si>
  <si>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</si>
  <si>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</si>
  <si>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</si>
  <si>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</si>
  <si>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</si>
  <si>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</si>
  <si>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</si>
  <si>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</si>
  <si>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</si>
  <si>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</si>
  <si>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</si>
  <si>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</si>
  <si>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</si>
  <si>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</si>
  <si>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</si>
  <si>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</si>
  <si>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</si>
  <si>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</si>
  <si>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</si>
  <si>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</si>
  <si>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</si>
  <si>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</si>
  <si>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</si>
  <si>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</si>
  <si>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</si>
  <si>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</si>
  <si>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</si>
  <si>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</si>
  <si>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</si>
  <si>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</si>
  <si>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</si>
  <si>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</si>
  <si>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</si>
  <si>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</si>
  <si>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</si>
  <si>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</si>
  <si>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</si>
  <si>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</si>
  <si>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</si>
  <si>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</si>
  <si>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</si>
  <si>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</si>
  <si>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</si>
  <si>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</si>
  <si>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</si>
  <si>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</si>
  <si>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</si>
  <si>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</si>
  <si>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</si>
  <si>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</si>
  <si>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</si>
  <si>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</si>
  <si>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</si>
  <si>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</si>
  <si>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</si>
  <si>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</si>
  <si>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</si>
  <si>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</si>
  <si>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</si>
  <si>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</si>
  <si>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</si>
  <si>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</si>
  <si>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</si>
  <si>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</si>
  <si>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</si>
  <si>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</si>
  <si>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</si>
  <si>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</si>
  <si>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</si>
  <si>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</si>
  <si>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</si>
  <si>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</si>
  <si>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</si>
  <si>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</si>
  <si>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</si>
  <si>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</si>
  <si>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</si>
  <si>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</si>
  <si>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</si>
  <si>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</si>
  <si>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</si>
  <si>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</si>
  <si>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</si>
  <si>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</si>
  <si>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</si>
  <si>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</si>
  <si>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</si>
  <si>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</si>
  <si>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</si>
  <si>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</si>
  <si>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</si>
  <si>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</si>
  <si>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</si>
  <si>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</si>
  <si>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</si>
  <si>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</si>
  <si>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</si>
  <si>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</si>
  <si>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</si>
  <si>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</si>
  <si>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</si>
  <si>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</si>
  <si>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</si>
  <si>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</si>
  <si>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</si>
  <si>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</si>
  <si>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</si>
  <si>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</si>
  <si>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</si>
  <si>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</si>
  <si>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</si>
  <si>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</si>
  <si>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</si>
  <si>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</si>
  <si>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</si>
  <si>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</si>
  <si>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</si>
  <si>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</si>
  <si>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</si>
  <si>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</si>
  <si>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</si>
  <si>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</si>
  <si>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</si>
  <si>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</si>
  <si>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</si>
  <si>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</si>
  <si>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</si>
  <si>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</si>
  <si>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</si>
  <si>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</si>
  <si>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</si>
  <si>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</si>
  <si>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</si>
  <si>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</si>
  <si>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</si>
  <si>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</si>
  <si>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</si>
  <si>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</si>
  <si>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</si>
  <si>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</si>
  <si>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</si>
  <si>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</si>
  <si>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</si>
  <si>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</si>
  <si>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</si>
  <si>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</si>
  <si>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</si>
  <si>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</si>
  <si>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</si>
  <si>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</si>
  <si>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</si>
  <si>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</si>
  <si>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</si>
  <si>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</si>
  <si>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</si>
  <si>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</si>
  <si>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</si>
  <si>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</si>
  <si>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</si>
  <si>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</si>
  <si>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</si>
  <si>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</si>
  <si>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</si>
  <si>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</si>
  <si>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</si>
  <si>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</si>
  <si>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</si>
  <si>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</si>
  <si>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</si>
  <si>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</si>
  <si>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</si>
  <si>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</si>
  <si>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</si>
  <si>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</si>
  <si>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</si>
  <si>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</si>
  <si>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</si>
  <si>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</si>
  <si>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</si>
  <si>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</si>
  <si>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</si>
  <si>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</si>
  <si>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</si>
  <si>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</si>
  <si>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</si>
  <si>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</si>
  <si>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</si>
  <si>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</si>
  <si>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</si>
  <si>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</si>
  <si>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</si>
  <si>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</si>
  <si>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</si>
  <si>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</si>
  <si>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</si>
  <si>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</si>
  <si>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</si>
  <si>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</si>
  <si>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</si>
  <si>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</si>
  <si>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</si>
  <si>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</si>
  <si>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</si>
  <si>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</si>
  <si>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</si>
  <si>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</si>
  <si>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</si>
  <si>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</si>
  <si>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</si>
  <si>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</si>
  <si>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</si>
  <si>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</si>
  <si>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</si>
  <si>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</si>
  <si>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</si>
  <si>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</si>
  <si>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</si>
  <si>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</si>
  <si>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</si>
  <si>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</si>
  <si>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</si>
  <si>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</si>
  <si>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</si>
  <si>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</si>
  <si>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</si>
  <si>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</si>
  <si>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</si>
  <si>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</si>
  <si>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</si>
  <si>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</si>
  <si>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</si>
  <si>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</si>
  <si>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</si>
  <si>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</si>
  <si>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</si>
  <si>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</si>
  <si>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</si>
  <si>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</si>
  <si>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</si>
  <si>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</si>
  <si>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</si>
  <si>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</si>
  <si>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</si>
  <si>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</si>
  <si>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</si>
  <si>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</si>
  <si>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</si>
  <si>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</si>
  <si>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</si>
  <si>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</si>
  <si>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</si>
  <si>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</si>
  <si>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</si>
  <si>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</si>
  <si>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</si>
  <si>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</si>
  <si>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</si>
  <si>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</si>
  <si>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</si>
  <si>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</si>
  <si>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</si>
  <si>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</si>
  <si>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</si>
  <si>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</si>
  <si>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</si>
  <si>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</si>
  <si>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</si>
  <si>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</si>
  <si>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</si>
  <si>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</si>
  <si>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</si>
  <si>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</si>
  <si>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</si>
  <si>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</si>
  <si>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</si>
  <si>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</si>
  <si>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</si>
  <si>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</si>
  <si>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</si>
  <si>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</si>
  <si>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</si>
  <si>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</si>
  <si>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</si>
  <si>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</si>
  <si>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</si>
  <si>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</si>
  <si>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</si>
  <si>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</si>
  <si>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</si>
  <si>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</si>
  <si>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</si>
  <si>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</si>
  <si>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</si>
  <si>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</si>
  <si>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</si>
  <si>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</si>
  <si>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</si>
  <si>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</si>
  <si>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</si>
  <si>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</si>
  <si>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</si>
  <si>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</si>
  <si>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</si>
  <si>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</si>
  <si>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</si>
  <si>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</si>
  <si>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</si>
  <si>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</si>
  <si>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</si>
  <si>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</si>
  <si>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</si>
  <si>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</si>
  <si>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</si>
  <si>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</si>
  <si>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</si>
  <si>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</si>
  <si>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</si>
  <si>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</si>
  <si>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</si>
  <si>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</si>
  <si>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</si>
  <si>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</si>
  <si>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</si>
  <si>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</si>
  <si>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</si>
  <si>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</si>
  <si>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</si>
  <si>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</si>
  <si>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</si>
  <si>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</si>
  <si>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</si>
  <si>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</si>
  <si>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</si>
  <si>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</si>
  <si>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</si>
  <si>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</si>
  <si>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</si>
  <si>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</si>
  <si>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</si>
  <si>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</si>
  <si>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</si>
  <si>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</si>
  <si>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</si>
  <si>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</si>
  <si>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</si>
  <si>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</si>
  <si>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</si>
  <si>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</si>
  <si>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</si>
  <si>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</si>
  <si>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</si>
  <si>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</si>
  <si>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</si>
  <si>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</si>
  <si>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</si>
  <si>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</si>
  <si>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</si>
  <si>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</si>
  <si>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</si>
  <si>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</si>
  <si>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</si>
  <si>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</si>
  <si>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</si>
  <si>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</si>
  <si>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</si>
  <si>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</si>
  <si>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</si>
  <si>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</si>
  <si>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</si>
  <si>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</si>
  <si>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</si>
  <si>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</si>
  <si>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</si>
  <si>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</si>
  <si>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</si>
  <si>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</si>
  <si>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</si>
  <si>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</si>
  <si>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</si>
  <si>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</si>
  <si>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</si>
  <si>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</si>
  <si>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</si>
  <si>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</si>
  <si>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</si>
  <si>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</si>
  <si>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</si>
  <si>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</si>
  <si>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</si>
  <si>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</si>
  <si>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</si>
  <si>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</si>
  <si>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</si>
  <si>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</si>
  <si>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</si>
  <si>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</si>
  <si>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</si>
  <si>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</si>
  <si>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</si>
  <si>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</si>
  <si>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</si>
  <si>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</si>
  <si>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</si>
  <si>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</si>
  <si>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</si>
  <si>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</si>
  <si>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</si>
  <si>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</si>
  <si>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</si>
  <si>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</si>
  <si>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</si>
  <si>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</si>
  <si>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</si>
  <si>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</si>
  <si>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</si>
  <si>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</si>
  <si>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</si>
  <si>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</si>
  <si>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</si>
  <si>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</si>
  <si>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</si>
  <si>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</si>
  <si>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</si>
  <si>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</si>
  <si>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</si>
  <si>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</si>
  <si>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</si>
  <si>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</si>
  <si>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</si>
  <si>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</si>
  <si>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</si>
  <si>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</si>
  <si>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</si>
  <si>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</si>
  <si>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</si>
  <si>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</si>
  <si>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</si>
  <si>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</si>
  <si>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</si>
  <si>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</si>
  <si>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</si>
  <si>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</si>
  <si>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</si>
  <si>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</si>
  <si>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</si>
  <si>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</si>
  <si>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</si>
  <si>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</si>
  <si>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</si>
  <si>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</si>
  <si>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</si>
  <si>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</si>
  <si>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</si>
  <si>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</si>
  <si>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</si>
  <si>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</si>
  <si>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</si>
  <si>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</si>
  <si>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</si>
  <si>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</si>
  <si>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</si>
  <si>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</si>
  <si>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</si>
  <si>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</si>
  <si>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</si>
  <si>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</si>
  <si>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</si>
  <si>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</si>
  <si>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</si>
  <si>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</si>
  <si>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</si>
  <si>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</si>
  <si>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</si>
  <si>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</si>
  <si>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</si>
  <si>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</si>
  <si>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</si>
  <si>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</si>
  <si>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</si>
  <si>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</si>
  <si>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</si>
  <si>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</si>
  <si>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</si>
  <si>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</si>
  <si>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</si>
  <si>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</si>
  <si>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</si>
  <si>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</si>
  <si>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</si>
  <si>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</si>
  <si>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</si>
  <si>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</si>
  <si>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</si>
  <si>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</si>
  <si>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</si>
  <si>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</si>
  <si>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</si>
  <si>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</si>
  <si>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</si>
  <si>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</si>
  <si>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</si>
  <si>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</si>
  <si>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</si>
  <si>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</si>
  <si>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</si>
  <si>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</si>
  <si>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</si>
  <si>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</si>
  <si>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</si>
  <si>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</si>
  <si>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</si>
  <si>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</si>
  <si>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</si>
  <si>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</si>
  <si>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</si>
  <si>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</si>
  <si>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</si>
  <si>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</si>
  <si>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</si>
  <si>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</si>
  <si>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</si>
  <si>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</si>
  <si>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</si>
  <si>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</si>
  <si>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</si>
  <si>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</si>
  <si>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</si>
  <si>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</si>
  <si>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</si>
  <si>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</si>
  <si>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</si>
  <si>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</si>
  <si>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</si>
  <si>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</si>
  <si>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</si>
  <si>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</si>
  <si>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</si>
  <si>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</si>
  <si>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</si>
  <si>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</si>
  <si>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</si>
  <si>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</si>
  <si>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</si>
  <si>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</si>
  <si>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</si>
  <si>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</si>
  <si>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</si>
  <si>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</si>
  <si>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</si>
  <si>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</si>
  <si>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</si>
  <si>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</si>
  <si>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</si>
  <si>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</si>
  <si>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</si>
  <si>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</si>
  <si>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</si>
  <si>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</si>
  <si>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</si>
  <si>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</si>
  <si>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</si>
  <si>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</si>
  <si>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</si>
  <si>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</si>
  <si>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</si>
  <si>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</si>
  <si>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</si>
  <si>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</si>
  <si>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</si>
  <si>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</si>
  <si>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</si>
  <si>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</si>
  <si>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</si>
  <si>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</si>
  <si>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</si>
  <si>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</si>
  <si>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</si>
  <si>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</si>
  <si>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</si>
  <si>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</si>
  <si>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</si>
  <si>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</si>
  <si>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</si>
  <si>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</si>
  <si>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</si>
  <si>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</si>
  <si>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</si>
  <si>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</si>
  <si>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</si>
  <si>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</si>
  <si>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</si>
  <si>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</si>
  <si>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</si>
  <si>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</si>
  <si>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</si>
  <si>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</si>
  <si>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</si>
  <si>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</si>
  <si>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</si>
  <si>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</si>
  <si>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</si>
  <si>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</si>
  <si>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</si>
  <si>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</si>
  <si>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</si>
  <si>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</si>
  <si>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</si>
  <si>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</si>
  <si>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</si>
  <si>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</si>
  <si>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</si>
  <si>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</si>
  <si>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</si>
  <si>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</si>
  <si>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</si>
  <si>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</si>
  <si>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</si>
  <si>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</si>
  <si>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</si>
  <si>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</si>
  <si>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</si>
  <si>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</si>
  <si>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</si>
  <si>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</si>
  <si>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</si>
  <si>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</si>
  <si>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</si>
  <si>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</si>
  <si>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</si>
  <si>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</si>
  <si>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</si>
  <si>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</si>
  <si>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</si>
  <si>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</si>
  <si>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</si>
  <si>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</si>
  <si>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</si>
  <si>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</si>
  <si>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</si>
  <si>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</si>
  <si>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</si>
  <si>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</si>
  <si>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</si>
  <si>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</si>
  <si>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</si>
  <si>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</si>
  <si>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</si>
  <si>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</si>
  <si>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</si>
  <si>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</si>
  <si>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</si>
  <si>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</si>
  <si>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</si>
  <si>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</si>
  <si>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</si>
  <si>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</si>
  <si>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</si>
  <si>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</si>
  <si>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</si>
  <si>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</si>
  <si>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</si>
  <si>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</si>
  <si>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</si>
  <si>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</si>
  <si>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</si>
  <si>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</si>
  <si>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</si>
  <si>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</si>
  <si>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</si>
  <si>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</si>
  <si>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</si>
  <si>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</si>
  <si>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</si>
  <si>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</si>
  <si>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</si>
  <si>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</si>
  <si>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</si>
  <si>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</si>
  <si>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</si>
  <si>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</si>
  <si>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</si>
  <si>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</si>
  <si>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</si>
  <si>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</si>
  <si>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</si>
  <si>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</si>
  <si>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</si>
  <si>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</si>
  <si>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</si>
  <si>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</si>
  <si>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</si>
  <si>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</si>
  <si>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</si>
  <si>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</si>
  <si>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</si>
  <si>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</si>
  <si>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</si>
  <si>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</si>
  <si>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</si>
  <si>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</si>
  <si>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</si>
  <si>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</si>
  <si>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</si>
  <si>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</si>
  <si>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</si>
  <si>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</si>
  <si>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</si>
  <si>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</si>
  <si>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</si>
  <si>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</si>
  <si>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</si>
  <si>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</si>
  <si>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</si>
  <si>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</si>
  <si>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</si>
  <si>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</si>
  <si>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</si>
  <si>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</si>
  <si>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</si>
  <si>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</si>
  <si>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</si>
  <si>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</si>
  <si>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</si>
  <si>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</si>
  <si>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</si>
  <si>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</si>
  <si>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</si>
  <si>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</si>
  <si>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</si>
  <si>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</si>
  <si>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</si>
  <si>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</si>
  <si>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</si>
  <si>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</si>
  <si>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</si>
  <si>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</si>
  <si>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</si>
  <si>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</si>
  <si>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</si>
  <si>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</si>
  <si>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</si>
  <si>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</si>
  <si>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</si>
  <si>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</si>
  <si>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</si>
  <si>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</si>
  <si>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</si>
  <si>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</si>
  <si>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</si>
  <si>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</si>
  <si>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</si>
  <si>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</si>
  <si>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</si>
  <si>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</si>
  <si>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</si>
  <si>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</si>
  <si>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</si>
  <si>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</si>
  <si>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</si>
  <si>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</si>
  <si>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</si>
  <si>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</si>
  <si>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</si>
  <si>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</si>
  <si>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</si>
  <si>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</si>
  <si>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</si>
  <si>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</si>
  <si>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</si>
  <si>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</si>
  <si>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</si>
  <si>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</si>
  <si>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</si>
  <si>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</si>
  <si>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</si>
  <si>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</si>
  <si>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</si>
  <si>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</si>
  <si>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</si>
  <si>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</si>
  <si>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</si>
  <si>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</si>
  <si>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</si>
  <si>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</si>
  <si>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</si>
  <si>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</si>
  <si>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</si>
  <si>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</si>
  <si>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</si>
  <si>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</si>
  <si>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</si>
  <si>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</si>
  <si>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</si>
  <si>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</si>
  <si>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</si>
  <si>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</si>
  <si>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</si>
  <si>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</si>
  <si>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</si>
  <si>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</si>
  <si>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</si>
  <si>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</si>
  <si>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</si>
  <si>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</si>
  <si>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</si>
  <si>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</si>
  <si>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</si>
  <si>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</si>
  <si>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</si>
  <si>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</si>
  <si>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</si>
  <si>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</si>
  <si>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</si>
  <si>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</si>
  <si>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</si>
  <si>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</si>
  <si>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</si>
  <si>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</si>
  <si>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</si>
  <si>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</si>
  <si>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</si>
  <si>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</si>
  <si>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</si>
  <si>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</si>
  <si>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</si>
  <si>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</si>
  <si>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</si>
  <si>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</si>
  <si>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</si>
  <si>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</si>
  <si>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</si>
  <si>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</si>
  <si>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</si>
  <si>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</si>
  <si>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</si>
  <si>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</si>
  <si>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</si>
  <si>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</si>
  <si>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</si>
  <si>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</si>
  <si>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</si>
  <si>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</si>
  <si>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</si>
  <si>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</si>
  <si>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</si>
  <si>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</si>
  <si>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</si>
  <si>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</si>
  <si>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</si>
  <si>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</si>
  <si>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</si>
  <si>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</si>
  <si>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</si>
  <si>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</si>
  <si>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</si>
  <si>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</si>
  <si>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</si>
  <si>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</si>
  <si>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</si>
  <si>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</si>
  <si>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</si>
  <si>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</si>
  <si>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</si>
  <si>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</si>
  <si>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</si>
  <si>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</si>
  <si>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</si>
  <si>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</si>
  <si>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</si>
  <si>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</si>
  <si>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</si>
  <si>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</si>
  <si>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</si>
  <si>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</si>
  <si>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</si>
  <si>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</si>
  <si>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</si>
  <si>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</si>
  <si>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</si>
  <si>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</si>
  <si>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</si>
  <si>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</si>
  <si>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</si>
  <si>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</si>
  <si>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</si>
  <si>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</si>
  <si>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</si>
  <si>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</si>
  <si>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</si>
  <si>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</si>
  <si>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</si>
  <si>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</si>
  <si>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</si>
  <si>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</si>
  <si>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</si>
  <si>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</si>
  <si>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</si>
  <si>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</si>
  <si>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</si>
  <si>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</si>
  <si>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</si>
  <si>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</si>
  <si>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</si>
  <si>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</si>
  <si>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</si>
  <si>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</si>
  <si>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</si>
  <si>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</si>
  <si>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</si>
  <si>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</si>
  <si>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</si>
  <si>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</si>
  <si>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</si>
  <si>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</si>
  <si>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</si>
  <si>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</si>
  <si>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</si>
  <si>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</si>
  <si>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</si>
  <si>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</si>
  <si>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</si>
  <si>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</si>
  <si>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</si>
  <si>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</si>
  <si>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</si>
  <si>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</si>
  <si>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</si>
  <si>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</si>
  <si>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</si>
  <si>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</si>
  <si>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</si>
  <si>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</si>
  <si>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</si>
  <si>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</si>
  <si>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</si>
  <si>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</si>
  <si>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</si>
  <si>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</si>
  <si>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</si>
  <si>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</si>
  <si>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</si>
  <si>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</si>
  <si>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</si>
  <si>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</si>
  <si>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</si>
  <si>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</si>
  <si>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</si>
  <si>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</si>
  <si>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</si>
  <si>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</si>
  <si>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</si>
  <si>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</si>
  <si>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</si>
  <si>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</si>
  <si>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</si>
  <si>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</si>
  <si>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</si>
  <si>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</si>
  <si>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</si>
  <si>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</si>
  <si>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</si>
  <si>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</si>
  <si>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</si>
  <si>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</si>
  <si>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</si>
  <si>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</si>
  <si>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</si>
  <si>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</si>
  <si>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</si>
  <si>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</si>
  <si>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</si>
  <si>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</si>
  <si>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</si>
  <si>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</si>
  <si>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</si>
  <si>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</si>
  <si>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</si>
  <si>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</si>
  <si>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</si>
  <si>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</si>
  <si>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</si>
  <si>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</si>
  <si>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</si>
  <si>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</si>
  <si>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</si>
  <si>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</si>
  <si>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</si>
  <si>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</si>
  <si>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</si>
  <si>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</si>
  <si>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</si>
  <si>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</si>
  <si>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</si>
  <si>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</si>
  <si>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</si>
  <si>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</si>
  <si>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</si>
  <si>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</si>
  <si>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</si>
  <si>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</si>
  <si>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</si>
  <si>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</si>
  <si>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</si>
  <si>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</si>
  <si>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</si>
  <si>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</si>
  <si>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</si>
  <si>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</si>
  <si>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</si>
  <si>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</si>
  <si>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</si>
  <si>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</si>
  <si>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</si>
  <si>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</si>
  <si>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</si>
  <si>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</si>
  <si>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</si>
  <si>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</si>
  <si>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</si>
  <si>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</si>
  <si>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</si>
  <si>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</si>
  <si>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</si>
  <si>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</si>
  <si>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</si>
  <si>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</si>
  <si>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</si>
  <si>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</si>
  <si>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</si>
  <si>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</si>
  <si>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</si>
  <si>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</si>
  <si>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</si>
  <si>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</si>
  <si>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</si>
  <si>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</si>
  <si>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</si>
  <si>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</si>
  <si>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</si>
  <si>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</si>
  <si>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</si>
  <si>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</si>
  <si>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</si>
  <si>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</si>
  <si>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</si>
  <si>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</si>
  <si>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</si>
  <si>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</si>
  <si>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</si>
  <si>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</si>
  <si>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</si>
  <si>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</si>
  <si>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</si>
  <si>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</si>
  <si>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</si>
  <si>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</si>
  <si>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</si>
  <si>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</si>
  <si>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</si>
  <si>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</si>
  <si>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</si>
  <si>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</si>
  <si>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</si>
  <si>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</si>
  <si>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</si>
  <si>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</si>
  <si>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</si>
  <si>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</si>
  <si>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</si>
  <si>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</si>
  <si>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</si>
  <si>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</si>
  <si>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</si>
  <si>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</si>
  <si>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</si>
  <si>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</si>
  <si>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</si>
  <si>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</si>
  <si>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</si>
  <si>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</si>
  <si>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</si>
  <si>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</si>
  <si>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</si>
  <si>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</si>
  <si>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</si>
  <si>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</si>
  <si>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</si>
  <si>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</si>
  <si>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</si>
  <si>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</si>
  <si>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</si>
  <si>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</si>
  <si>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</si>
  <si>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</si>
  <si>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</si>
  <si>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</si>
  <si>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</si>
  <si>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</si>
  <si>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</si>
  <si>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</si>
  <si>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</si>
  <si>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</si>
  <si>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</si>
  <si>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</si>
  <si>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</si>
  <si>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</si>
  <si>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</si>
  <si>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</si>
  <si>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</si>
  <si>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</si>
  <si>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</si>
  <si>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</si>
  <si>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</si>
  <si>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</si>
  <si>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</si>
  <si>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</si>
  <si>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</si>
  <si>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</si>
  <si>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</si>
  <si>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</si>
  <si>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</si>
  <si>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</si>
  <si>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</si>
  <si>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</si>
  <si>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</si>
  <si>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</si>
  <si>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</si>
  <si>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</si>
  <si>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</si>
  <si>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</si>
  <si>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</si>
  <si>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</si>
  <si>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</si>
  <si>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</si>
  <si>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</si>
  <si>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</si>
  <si>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</si>
  <si>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</si>
  <si>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</si>
  <si>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</si>
  <si>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</si>
  <si>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</si>
  <si>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</si>
  <si>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</si>
  <si>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</si>
  <si>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</si>
  <si>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</si>
  <si>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</si>
  <si>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</si>
  <si>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</si>
  <si>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</si>
  <si>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</si>
  <si>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</si>
  <si>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</si>
  <si>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</si>
  <si>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</si>
  <si>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</si>
  <si>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</si>
  <si>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</si>
  <si>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</si>
  <si>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</si>
  <si>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</si>
  <si>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</si>
  <si>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</si>
  <si>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</si>
  <si>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</si>
  <si>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</si>
  <si>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</si>
  <si>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</si>
  <si>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</si>
  <si>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</si>
  <si>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</si>
  <si>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</si>
  <si>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</si>
  <si>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</si>
  <si>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</si>
  <si>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</si>
  <si>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</si>
  <si>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</si>
  <si>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</si>
  <si>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</si>
  <si>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</si>
  <si>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</si>
  <si>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</si>
  <si>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</si>
  <si>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</si>
  <si>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</si>
  <si>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</si>
  <si>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</si>
  <si>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</si>
  <si>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</si>
  <si>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</si>
  <si>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</si>
  <si>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</si>
  <si>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</si>
  <si>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</si>
  <si>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</si>
  <si>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</si>
  <si>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</si>
  <si>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</si>
  <si>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</si>
  <si>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</si>
  <si>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</si>
  <si>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</si>
  <si>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</si>
  <si>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</si>
  <si>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</si>
  <si>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</si>
  <si>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</si>
  <si>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</si>
  <si>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</si>
  <si>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</si>
  <si>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</si>
  <si>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</si>
  <si>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</si>
  <si>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</si>
  <si>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</si>
  <si>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</si>
  <si>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</si>
  <si>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</si>
  <si>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</si>
  <si>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</si>
  <si>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</si>
  <si>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</si>
  <si>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</si>
  <si>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</si>
  <si>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</si>
  <si>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</si>
  <si>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</si>
  <si>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</si>
  <si>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</si>
  <si>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</si>
  <si>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</si>
  <si>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</si>
  <si>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</si>
  <si>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</si>
  <si>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</si>
  <si>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</si>
  <si>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</si>
  <si>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</si>
  <si>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</si>
  <si>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</si>
  <si>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</si>
  <si>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</si>
  <si>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</si>
  <si>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</si>
  <si>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</si>
  <si>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</si>
  <si>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</si>
  <si>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</si>
  <si>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</si>
  <si>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</si>
  <si>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</si>
  <si>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</si>
  <si>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</si>
  <si>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</si>
  <si>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</si>
  <si>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</si>
  <si>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</si>
  <si>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</si>
  <si>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</si>
  <si>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</si>
  <si>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</si>
  <si>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</si>
  <si>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</si>
  <si>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</si>
  <si>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</si>
  <si>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</si>
  <si>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</si>
  <si>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</si>
  <si>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</si>
  <si>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</si>
  <si>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</si>
  <si>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</si>
  <si>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</si>
  <si>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</si>
  <si>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</si>
  <si>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</si>
  <si>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</si>
  <si>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</si>
  <si>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</si>
  <si>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</si>
  <si>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</si>
  <si>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</si>
  <si>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</si>
  <si>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</si>
  <si>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</si>
  <si>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</si>
  <si>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</si>
  <si>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</si>
  <si>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</si>
  <si>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</si>
  <si>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</si>
  <si>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</si>
  <si>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</si>
  <si>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</si>
  <si>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</si>
  <si>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</si>
  <si>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</si>
  <si>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</si>
  <si>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</si>
  <si>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</si>
  <si>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</si>
  <si>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</si>
  <si>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</si>
  <si>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</si>
  <si>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</si>
  <si>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</si>
  <si>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</si>
  <si>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</si>
  <si>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</si>
  <si>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</si>
  <si>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</si>
  <si>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</si>
  <si>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</si>
  <si>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</si>
  <si>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</si>
  <si>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</si>
  <si>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</si>
  <si>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</si>
  <si>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</si>
  <si>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</si>
  <si>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</si>
  <si>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</si>
  <si>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</si>
  <si>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</si>
  <si>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</si>
  <si>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</si>
  <si>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</si>
  <si>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</si>
  <si>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</si>
  <si>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</si>
  <si>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</si>
  <si>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</si>
  <si>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</si>
  <si>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</si>
  <si>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</si>
  <si>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</si>
  <si>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</si>
  <si>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</si>
  <si>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</si>
  <si>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</si>
  <si>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</si>
  <si>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</si>
  <si>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</si>
  <si>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</si>
  <si>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</si>
  <si>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</si>
  <si>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</si>
  <si>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</si>
  <si>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</si>
  <si>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</si>
  <si>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</si>
  <si>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</si>
  <si>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</si>
  <si>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</si>
  <si>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</si>
  <si>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</si>
  <si>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</si>
  <si>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</si>
  <si>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</si>
  <si>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</si>
  <si>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</si>
  <si>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</si>
  <si>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</si>
  <si>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</si>
  <si>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</si>
  <si>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</si>
  <si>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</si>
  <si>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</si>
  <si>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</si>
  <si>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</si>
  <si>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</si>
  <si>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</si>
  <si>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</si>
  <si>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</si>
  <si>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</si>
  <si>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</si>
  <si>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</si>
  <si>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</si>
  <si>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</si>
  <si>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</si>
  <si>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</si>
  <si>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</si>
  <si>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</si>
  <si>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</si>
  <si>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</si>
  <si>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</si>
  <si>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</si>
  <si>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</si>
  <si>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</si>
  <si>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</si>
  <si>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</si>
  <si>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</si>
  <si>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</si>
  <si>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</si>
  <si>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</si>
  <si>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</si>
  <si>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</si>
  <si>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</si>
  <si>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</si>
  <si>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</si>
  <si>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</si>
  <si>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</si>
  <si>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</si>
  <si>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</si>
  <si>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</si>
  <si>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</si>
  <si>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</si>
  <si>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</si>
  <si>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</si>
  <si>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</si>
  <si>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</si>
  <si>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</si>
  <si>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</si>
  <si>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</si>
  <si>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</si>
  <si>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</si>
  <si>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</si>
  <si>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</si>
  <si>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</si>
  <si>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</si>
  <si>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</si>
  <si>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</si>
  <si>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</si>
  <si>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</si>
  <si>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</si>
  <si>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</si>
  <si>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</si>
  <si>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</si>
  <si>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</si>
  <si>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</si>
  <si>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</si>
  <si>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</si>
  <si>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</si>
  <si>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</si>
  <si>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</si>
  <si>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</si>
  <si>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</si>
  <si>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</si>
  <si>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</si>
  <si>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</si>
  <si>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</si>
  <si>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</si>
  <si>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</si>
  <si>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</si>
  <si>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</si>
  <si>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</si>
  <si>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</si>
  <si>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</si>
  <si>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</si>
  <si>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</si>
  <si>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</si>
  <si>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</si>
  <si>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</si>
  <si>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</si>
  <si>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</si>
  <si>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</si>
  <si>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</si>
  <si>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</si>
  <si>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</si>
  <si>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</si>
  <si>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</si>
  <si>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</si>
  <si>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</si>
  <si>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</si>
  <si>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</si>
  <si>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</si>
  <si>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</si>
  <si>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</si>
  <si>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</si>
  <si>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</si>
  <si>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</si>
  <si>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</si>
  <si>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</si>
  <si>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</si>
  <si>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</si>
  <si>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</si>
  <si>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</si>
  <si>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</si>
  <si>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</si>
  <si>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</si>
  <si>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</si>
  <si>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</si>
  <si>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</si>
  <si>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</si>
  <si>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</si>
  <si>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</si>
  <si>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</si>
  <si>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</si>
  <si>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</si>
  <si>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</si>
  <si>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</si>
  <si>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</si>
  <si>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</si>
  <si>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</si>
  <si>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</si>
  <si>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</si>
  <si>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</si>
  <si>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</si>
  <si>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</si>
  <si>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</si>
  <si>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</si>
  <si>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</si>
  <si>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</si>
  <si>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</si>
  <si>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</si>
  <si>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</si>
  <si>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</si>
  <si>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</si>
  <si>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</si>
  <si>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</si>
  <si>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</si>
  <si>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</si>
  <si>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</si>
  <si>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</si>
  <si>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</si>
  <si>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</si>
  <si>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</si>
  <si>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</si>
  <si>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</si>
  <si>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</si>
  <si>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</si>
  <si>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</si>
  <si>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</si>
  <si>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</si>
  <si>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</si>
  <si>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</si>
  <si>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</si>
  <si>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</si>
  <si>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</si>
  <si>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</si>
  <si>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</si>
  <si>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</si>
  <si>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</si>
  <si>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</si>
  <si>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</si>
  <si>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</si>
  <si>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</si>
  <si>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</si>
  <si>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</si>
  <si>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</si>
  <si>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</si>
  <si>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</si>
  <si>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</si>
  <si>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</si>
  <si>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</si>
  <si>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</si>
  <si>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</si>
  <si>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</si>
  <si>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</si>
  <si>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</si>
  <si>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</si>
  <si>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</si>
  <si>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</si>
  <si>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</si>
  <si>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</si>
  <si>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</si>
  <si>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</si>
  <si>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</si>
  <si>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</si>
  <si>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</si>
  <si>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</si>
  <si>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</si>
  <si>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</si>
  <si>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</si>
  <si>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</si>
  <si>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</si>
  <si>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</si>
  <si>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</si>
  <si>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</si>
  <si>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</si>
  <si>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</si>
  <si>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</si>
  <si>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</si>
  <si>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</si>
  <si>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</si>
  <si>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</si>
  <si>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</si>
  <si>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</si>
  <si>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</si>
  <si>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</si>
  <si>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</si>
  <si>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</si>
  <si>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</si>
  <si>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</si>
  <si>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</si>
  <si>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</si>
  <si>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</si>
  <si>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</si>
  <si>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</si>
  <si>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</si>
  <si>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</si>
  <si>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</si>
  <si>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</si>
  <si>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</si>
  <si>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</si>
  <si>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</si>
  <si>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</si>
  <si>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</si>
  <si>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</si>
  <si>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</si>
  <si>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</si>
  <si>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</si>
  <si>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</si>
  <si>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</si>
  <si>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</si>
  <si>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</si>
  <si>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</si>
  <si>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</si>
  <si>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</si>
  <si>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</si>
  <si>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</si>
  <si>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</si>
  <si>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</si>
  <si>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</si>
  <si>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</si>
  <si>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</si>
  <si>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</si>
  <si>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</si>
  <si>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</si>
  <si>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</si>
  <si>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</si>
  <si>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</si>
  <si>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</si>
  <si>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</si>
  <si>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</si>
  <si>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</si>
  <si>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</si>
  <si>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</si>
  <si>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</si>
  <si>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</si>
  <si>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</si>
  <si>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</si>
  <si>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</si>
  <si>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</si>
  <si>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</si>
  <si>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</si>
  <si>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</si>
  <si>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</si>
  <si>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</si>
  <si>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</si>
  <si>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</si>
  <si>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</si>
  <si>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</si>
  <si>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</si>
  <si>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</si>
  <si>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</si>
  <si>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</si>
  <si>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</si>
  <si>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</si>
  <si>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</si>
  <si>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</si>
  <si>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</si>
  <si>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</si>
  <si>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</si>
  <si>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</si>
  <si>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</si>
  <si>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</si>
  <si>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</si>
  <si>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</si>
  <si>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</si>
  <si>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</si>
  <si>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</si>
  <si>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</si>
  <si>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</si>
  <si>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</si>
  <si>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</si>
  <si>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</si>
  <si>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</si>
  <si>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</si>
  <si>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</si>
  <si>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</si>
  <si>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</si>
  <si>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</si>
  <si>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</si>
  <si>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</si>
  <si>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</si>
  <si>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</si>
  <si>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</si>
  <si>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</si>
  <si>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</si>
  <si>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</si>
  <si>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</si>
  <si>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</si>
  <si>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</si>
  <si>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</si>
  <si>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</si>
  <si>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</si>
  <si>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</si>
  <si>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</si>
  <si>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</si>
  <si>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</si>
  <si>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</si>
  <si>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</si>
  <si>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</si>
  <si>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</si>
  <si>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</si>
  <si>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</si>
  <si>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</si>
  <si>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</si>
  <si>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</si>
  <si>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</si>
  <si>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</si>
  <si>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</si>
  <si>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</si>
  <si>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</si>
  <si>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</si>
  <si>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</si>
  <si>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</si>
  <si>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</si>
  <si>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</si>
  <si>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</si>
  <si>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</si>
  <si>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</si>
  <si>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</si>
  <si>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</si>
  <si>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</si>
  <si>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</si>
  <si>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</si>
  <si>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</si>
  <si>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</si>
  <si>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</si>
  <si>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</si>
  <si>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</si>
  <si>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</si>
  <si>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</si>
  <si>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</si>
  <si>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</si>
  <si>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</si>
  <si>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</si>
  <si>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</si>
  <si>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</si>
  <si>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</si>
  <si>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</si>
  <si>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</si>
  <si>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</si>
  <si>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</si>
  <si>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</si>
  <si>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</si>
  <si>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</si>
  <si>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</si>
  <si>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</si>
  <si>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</si>
  <si>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</si>
  <si>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</si>
  <si>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</si>
  <si>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</si>
  <si>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</si>
  <si>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</si>
  <si>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</si>
  <si>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</si>
  <si>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</si>
  <si>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</si>
  <si>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</si>
  <si>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</si>
  <si>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</si>
  <si>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</si>
  <si>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</si>
  <si>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</si>
  <si>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</si>
  <si>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</si>
  <si>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</si>
  <si>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</si>
  <si>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</si>
  <si>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</si>
  <si>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</si>
  <si>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</si>
  <si>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</si>
  <si>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</si>
  <si>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</si>
  <si>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</si>
  <si>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</si>
  <si>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</si>
  <si>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</si>
  <si>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</si>
  <si>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</si>
  <si>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</si>
  <si>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</si>
  <si>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</si>
  <si>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</si>
  <si>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</si>
  <si>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</si>
  <si>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</si>
  <si>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</si>
  <si>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</si>
  <si>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</si>
  <si>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</si>
  <si>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</si>
  <si>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</si>
  <si>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</si>
  <si>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</si>
  <si>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</si>
  <si>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</si>
  <si>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</si>
  <si>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</si>
  <si>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</si>
  <si>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</si>
  <si>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</si>
  <si>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</si>
  <si>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</si>
  <si>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</si>
  <si>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</si>
  <si>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</si>
  <si>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</si>
  <si>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</si>
  <si>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</si>
  <si>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</si>
  <si>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</si>
  <si>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</si>
  <si>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</si>
  <si>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</si>
  <si>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</si>
  <si>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</si>
  <si>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</si>
  <si>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</si>
  <si>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</si>
  <si>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</si>
  <si>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</si>
  <si>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</si>
  <si>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</si>
  <si>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</si>
  <si>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</si>
  <si>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</si>
  <si>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</si>
  <si>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</si>
  <si>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</si>
  <si>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</si>
  <si>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</si>
  <si>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</si>
  <si>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</si>
  <si>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</si>
  <si>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</si>
  <si>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</si>
  <si>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</si>
  <si>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</si>
  <si>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</si>
  <si>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</si>
  <si>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</si>
  <si>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</si>
  <si>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</si>
  <si>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</si>
  <si>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</si>
  <si>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</si>
  <si>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</si>
  <si>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</si>
  <si>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</si>
  <si>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</si>
  <si>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</si>
  <si>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</si>
  <si>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</si>
  <si>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</si>
  <si>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</si>
  <si>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</si>
  <si>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</si>
  <si>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</si>
  <si>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</si>
  <si>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</si>
  <si>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</si>
  <si>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</si>
  <si>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</si>
  <si>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</si>
  <si>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</si>
  <si>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</si>
  <si>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</si>
  <si>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</si>
  <si>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</si>
  <si>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</si>
  <si>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</si>
  <si>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</si>
  <si>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</si>
  <si>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</si>
  <si>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</si>
  <si>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</si>
  <si>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</si>
  <si>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</si>
  <si>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</si>
  <si>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</si>
  <si>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</si>
  <si>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</si>
  <si>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</si>
  <si>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</si>
  <si>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</si>
  <si>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</si>
  <si>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</si>
  <si>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</si>
  <si>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</si>
  <si>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</si>
  <si>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</si>
  <si>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</si>
  <si>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</si>
  <si>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</si>
  <si>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</si>
  <si>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</si>
  <si>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</si>
  <si>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</si>
  <si>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</si>
  <si>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</si>
  <si>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</si>
  <si>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</si>
  <si>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</si>
  <si>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</si>
  <si>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</si>
  <si>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</si>
  <si>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</si>
  <si>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</si>
  <si>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</si>
  <si>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</si>
  <si>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</si>
  <si>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</si>
  <si>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</si>
  <si>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</si>
  <si>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</si>
  <si>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</si>
  <si>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</si>
  <si>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</si>
  <si>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</si>
  <si>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</si>
  <si>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</si>
  <si>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</si>
  <si>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</si>
  <si>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</si>
  <si>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</si>
  <si>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</si>
  <si>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</si>
  <si>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</si>
  <si>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</si>
  <si>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</si>
  <si>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</si>
  <si>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</si>
  <si>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</si>
  <si>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</si>
  <si>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</si>
  <si>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</si>
  <si>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</si>
  <si>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</si>
  <si>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</si>
  <si>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</si>
  <si>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</si>
  <si>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</si>
  <si>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</si>
  <si>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</si>
  <si>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</si>
  <si>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</si>
  <si>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</si>
  <si>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</si>
  <si>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</si>
  <si>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</si>
  <si>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</si>
  <si>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</si>
  <si>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</si>
  <si>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</si>
  <si>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</si>
  <si>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</si>
  <si>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</si>
  <si>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</si>
  <si>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</si>
  <si>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</si>
  <si>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</si>
  <si>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</si>
  <si>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</si>
  <si>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</si>
  <si>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</si>
  <si>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</si>
  <si>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</si>
  <si>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</si>
  <si>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</si>
  <si>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</si>
  <si>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</si>
  <si>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</si>
  <si>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</si>
  <si>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</si>
  <si>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</si>
  <si>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</si>
  <si>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</si>
  <si>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</si>
  <si>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</si>
  <si>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</si>
  <si>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</si>
  <si>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</si>
  <si>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</si>
  <si>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</si>
  <si>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</si>
  <si>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</si>
  <si>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</si>
  <si>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</si>
  <si>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</si>
  <si>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</si>
  <si>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</si>
  <si>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</si>
  <si>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</si>
  <si>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</si>
  <si>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</si>
  <si>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</si>
  <si>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</si>
  <si>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</si>
  <si>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</si>
  <si>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</si>
  <si>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</si>
  <si>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</si>
  <si>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</si>
  <si>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</si>
  <si>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</si>
  <si>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</si>
  <si>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</si>
  <si>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</si>
  <si>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</si>
  <si>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</si>
  <si>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</si>
  <si>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</si>
  <si>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</si>
  <si>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</si>
  <si>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</si>
  <si>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</si>
  <si>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</si>
  <si>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</si>
  <si>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</si>
  <si>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</si>
  <si>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</si>
  <si>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</si>
  <si>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</si>
  <si>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</si>
  <si>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</si>
  <si>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</si>
  <si>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</si>
  <si>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</si>
  <si>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</si>
  <si>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</si>
  <si>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</si>
  <si>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</si>
  <si>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</si>
  <si>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</si>
  <si>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</si>
  <si>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</si>
  <si>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</si>
  <si>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</si>
  <si>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</si>
  <si>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</si>
  <si>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</si>
  <si>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</si>
  <si>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</si>
  <si>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</si>
  <si>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</si>
  <si>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</si>
  <si>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</si>
  <si>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</si>
  <si>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</si>
  <si>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</si>
  <si>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</si>
  <si>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</si>
  <si>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</si>
  <si>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</si>
  <si>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</si>
  <si>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</si>
  <si>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</si>
  <si>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</si>
  <si>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</si>
  <si>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</si>
  <si>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</si>
  <si>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</si>
  <si>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</si>
  <si>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</si>
  <si>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</si>
  <si>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</si>
  <si>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</si>
  <si>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</si>
  <si>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</si>
  <si>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</si>
  <si>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</si>
  <si>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</si>
  <si>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</si>
  <si>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</si>
  <si>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</si>
  <si>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</si>
  <si>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</si>
  <si>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</si>
  <si>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</si>
  <si>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</si>
  <si>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</si>
  <si>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</si>
  <si>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</si>
  <si>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</si>
  <si>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</si>
  <si>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</si>
  <si>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</si>
  <si>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</si>
  <si>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</si>
  <si>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</si>
  <si>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</si>
  <si>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</si>
  <si>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</si>
  <si>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</si>
  <si>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</si>
  <si>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</si>
  <si>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</si>
  <si>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</si>
  <si>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</si>
  <si>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</si>
  <si>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</si>
  <si>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</si>
  <si>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</si>
  <si>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</si>
  <si>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</si>
  <si>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</si>
  <si>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</si>
  <si>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</si>
  <si>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</si>
  <si>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</si>
  <si>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</si>
  <si>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</si>
  <si>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</si>
  <si>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</si>
  <si>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</si>
  <si>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</si>
  <si>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</si>
  <si>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</si>
  <si>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</si>
  <si>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</si>
  <si>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</si>
  <si>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</si>
  <si>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</si>
  <si>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</si>
  <si>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</si>
  <si>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</si>
  <si>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</si>
  <si>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</si>
  <si>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</si>
  <si>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</si>
  <si>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</si>
  <si>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</si>
  <si>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</si>
  <si>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</si>
  <si>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</si>
  <si>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</si>
  <si>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</si>
  <si>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</si>
  <si>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</si>
  <si>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</si>
  <si>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</si>
  <si>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</si>
  <si>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</si>
  <si>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</si>
  <si>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</si>
  <si>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</si>
  <si>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</si>
  <si>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</si>
  <si>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</si>
  <si>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</si>
  <si>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</si>
  <si>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</si>
  <si>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</si>
  <si>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</si>
  <si>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</si>
  <si>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</si>
  <si>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</si>
  <si>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</si>
  <si>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</si>
  <si>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</si>
  <si>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</si>
  <si>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</si>
  <si>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</si>
  <si>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</si>
  <si>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</si>
  <si>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</si>
  <si>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</si>
  <si>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</si>
  <si>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</si>
  <si>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</si>
  <si>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</si>
  <si>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</si>
  <si>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</si>
  <si>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</si>
  <si>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</si>
  <si>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</si>
  <si>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</si>
  <si>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</si>
  <si>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</si>
  <si>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</si>
  <si>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</si>
  <si>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</si>
  <si>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</si>
  <si>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</si>
  <si>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</si>
  <si>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</si>
  <si>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</si>
  <si>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</si>
  <si>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</si>
  <si>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</si>
  <si>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</si>
  <si>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</si>
  <si>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</si>
  <si>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</si>
  <si>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</si>
  <si>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</si>
  <si>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</si>
  <si>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</si>
  <si>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</si>
  <si>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</si>
  <si>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</si>
  <si>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</si>
  <si>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</si>
  <si>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</si>
  <si>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</si>
  <si>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</si>
  <si>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</si>
  <si>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</si>
  <si>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</si>
  <si>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</si>
  <si>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</si>
  <si>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</si>
  <si>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</si>
  <si>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</si>
  <si>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</si>
  <si>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</si>
  <si>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</si>
  <si>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</si>
  <si>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</si>
  <si>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</si>
  <si>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</si>
  <si>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</si>
  <si>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</si>
  <si>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</si>
  <si>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</si>
  <si>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</si>
  <si>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</si>
  <si>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</si>
  <si>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</si>
  <si>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</si>
  <si>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</si>
  <si>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</si>
  <si>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</si>
  <si>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</si>
  <si>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</si>
  <si>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</si>
  <si>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</si>
  <si>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</si>
  <si>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</si>
  <si>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</si>
  <si>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</si>
  <si>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</si>
  <si>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</si>
  <si>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</si>
  <si>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</si>
  <si>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</si>
  <si>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</si>
  <si>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</si>
  <si>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</si>
  <si>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</si>
  <si>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</si>
  <si>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</si>
  <si>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</si>
  <si>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</si>
  <si>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</si>
  <si>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</si>
  <si>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</si>
  <si>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</si>
  <si>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</si>
  <si>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</si>
  <si>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</si>
  <si>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</si>
  <si>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</si>
  <si>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</si>
  <si>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</si>
  <si>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</si>
  <si>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</si>
  <si>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</si>
  <si>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</si>
  <si>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</si>
  <si>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</si>
  <si>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</si>
  <si>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</si>
  <si>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</si>
  <si>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</si>
  <si>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</si>
  <si>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</si>
  <si>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</si>
  <si>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</si>
  <si>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</si>
  <si>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</si>
  <si>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</si>
  <si>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</si>
  <si>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</si>
  <si>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</si>
  <si>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</si>
  <si>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</si>
  <si>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</si>
  <si>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</si>
  <si>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</si>
  <si>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</si>
  <si>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</si>
  <si>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</si>
  <si>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</si>
  <si>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</si>
  <si>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</si>
  <si>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</si>
  <si>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</si>
  <si>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</si>
  <si>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</si>
  <si>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</si>
  <si>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</si>
  <si>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</si>
  <si>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</si>
  <si>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</si>
  <si>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</si>
  <si>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</si>
  <si>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</si>
  <si>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</si>
  <si>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</si>
  <si>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</si>
  <si>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</si>
  <si>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</si>
  <si>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</si>
  <si>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</si>
  <si>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</si>
  <si>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</si>
  <si>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</si>
  <si>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</si>
  <si>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</si>
  <si>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</si>
  <si>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</si>
  <si>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</si>
  <si>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</si>
  <si>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</si>
  <si>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</si>
  <si>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</si>
  <si>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</si>
  <si>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</si>
  <si>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</si>
  <si>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</si>
  <si>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</si>
  <si>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</si>
  <si>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</si>
  <si>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</si>
  <si>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</si>
  <si>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</si>
  <si>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</si>
  <si>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</si>
  <si>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</si>
  <si>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</si>
  <si>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</si>
  <si>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</si>
  <si>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</si>
  <si>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</si>
  <si>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</si>
  <si>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</si>
  <si>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</si>
  <si>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</si>
  <si>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</si>
  <si>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</si>
  <si>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</si>
  <si>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</si>
  <si>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</si>
  <si>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</si>
  <si>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</si>
  <si>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</si>
  <si>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</si>
  <si>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</si>
  <si>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</si>
  <si>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</si>
  <si>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</si>
  <si>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</si>
  <si>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</si>
  <si>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</si>
  <si>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</si>
  <si>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</si>
  <si>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</si>
  <si>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</si>
  <si>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</si>
  <si>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</si>
  <si>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</si>
  <si>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</si>
  <si>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</si>
  <si>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</si>
  <si>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</si>
  <si>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</si>
  <si>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</si>
  <si>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</si>
  <si>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</si>
  <si>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</si>
  <si>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</si>
  <si>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</si>
  <si>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</si>
  <si>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</si>
  <si>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</si>
  <si>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</si>
  <si>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</si>
  <si>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</si>
  <si>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</si>
  <si>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</si>
  <si>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</si>
  <si>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</si>
  <si>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</si>
  <si>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</si>
  <si>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</si>
  <si>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</si>
  <si>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</si>
  <si>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</si>
  <si>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</si>
  <si>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</si>
  <si>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</si>
  <si>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</si>
  <si>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</si>
  <si>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</si>
  <si>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</si>
  <si>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</si>
  <si>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</si>
  <si>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</si>
  <si>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</si>
  <si>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</si>
  <si>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</si>
  <si>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</si>
  <si>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</si>
  <si>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</si>
  <si>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</si>
  <si>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</si>
  <si>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</si>
  <si>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</si>
  <si>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</si>
  <si>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</si>
  <si>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</si>
  <si>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</si>
  <si>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</si>
  <si>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</si>
  <si>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</si>
  <si>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</si>
  <si>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</si>
  <si>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</si>
  <si>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</si>
  <si>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</si>
  <si>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</si>
  <si>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</si>
  <si>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</si>
  <si>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</si>
  <si>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</si>
  <si>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</si>
  <si>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</si>
  <si>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</si>
  <si>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</si>
  <si>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</si>
  <si>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</si>
  <si>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</si>
  <si>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</si>
  <si>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</si>
  <si>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</si>
  <si>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</si>
  <si>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</si>
  <si>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</si>
  <si>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</si>
  <si>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</si>
  <si>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</si>
  <si>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</si>
  <si>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</si>
  <si>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</si>
  <si>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</si>
  <si>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</si>
  <si>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</si>
  <si>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</si>
  <si>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</si>
  <si>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</si>
  <si>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</si>
  <si>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</si>
  <si>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</si>
  <si>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</si>
  <si>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</si>
  <si>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</si>
  <si>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</si>
  <si>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</si>
  <si>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</si>
  <si>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</si>
  <si>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</si>
  <si>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</si>
  <si>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</si>
  <si>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</si>
  <si>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</si>
  <si>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</si>
  <si>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</si>
  <si>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</si>
  <si>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</si>
  <si>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</si>
  <si>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</si>
  <si>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</si>
  <si>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</si>
  <si>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</si>
  <si>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</si>
  <si>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</si>
  <si>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</si>
  <si>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</si>
  <si>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</si>
  <si>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</si>
  <si>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</si>
  <si>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</si>
  <si>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</si>
  <si>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</si>
  <si>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</si>
  <si>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</si>
  <si>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</si>
  <si>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</si>
  <si>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</si>
  <si>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</si>
  <si>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</si>
  <si>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</si>
  <si>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</si>
  <si>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</si>
  <si>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</si>
  <si>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</si>
  <si>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</si>
  <si>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</si>
  <si>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</si>
  <si>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</si>
  <si>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</si>
  <si>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</si>
  <si>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</si>
  <si>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</si>
  <si>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</si>
  <si>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</si>
  <si>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</si>
  <si>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</si>
  <si>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</si>
  <si>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</si>
  <si>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</si>
  <si>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</si>
  <si>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</si>
  <si>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</si>
  <si>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</si>
  <si>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</si>
  <si>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</si>
  <si>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</si>
  <si>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</si>
  <si>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</si>
  <si>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</si>
  <si>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</si>
  <si>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</si>
  <si>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</si>
  <si>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</si>
  <si>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</si>
  <si>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</si>
  <si>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</si>
  <si>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</si>
  <si>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</si>
  <si>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</si>
  <si>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</si>
  <si>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</si>
  <si>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</si>
  <si>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</si>
  <si>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</si>
  <si>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</si>
  <si>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</si>
  <si>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</si>
  <si>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</si>
  <si>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</si>
  <si>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</si>
  <si>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</si>
  <si>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</si>
  <si>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</si>
  <si>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</si>
  <si>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</si>
  <si>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</si>
  <si>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</si>
  <si>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</si>
  <si>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</si>
  <si>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</si>
  <si>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</si>
  <si>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</si>
  <si>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</si>
  <si>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</si>
  <si>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</si>
  <si>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</si>
  <si>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</si>
  <si>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</si>
  <si>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</si>
  <si>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</si>
  <si>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</si>
  <si>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</si>
  <si>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</si>
  <si>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</si>
  <si>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</si>
  <si>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</si>
  <si>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</si>
  <si>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</si>
  <si>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</si>
  <si>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</si>
  <si>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</si>
  <si>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</si>
  <si>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</si>
  <si>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</si>
  <si>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</si>
  <si>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</si>
  <si>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</si>
  <si>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</si>
  <si>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</si>
  <si>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</si>
  <si>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</si>
  <si>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</si>
  <si>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</si>
  <si>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</si>
  <si>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</si>
  <si>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</si>
  <si>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</si>
  <si>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</si>
  <si>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</si>
  <si>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</si>
  <si>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</si>
  <si>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</si>
  <si>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</si>
  <si>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</si>
  <si>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</si>
  <si>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</si>
  <si>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</si>
  <si>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</si>
  <si>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</si>
  <si>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</si>
  <si>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</si>
  <si>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</si>
  <si>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</si>
  <si>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</si>
  <si>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</si>
  <si>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</si>
  <si>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</si>
  <si>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</si>
  <si>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</si>
  <si>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</si>
  <si>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</si>
  <si>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</si>
  <si>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</si>
  <si>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</si>
  <si>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</si>
  <si>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</si>
  <si>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</si>
  <si>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</si>
  <si>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</si>
  <si>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</si>
  <si>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</si>
  <si>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</si>
  <si>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</si>
  <si>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</si>
  <si>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</si>
  <si>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</si>
  <si>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</si>
  <si>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</si>
  <si>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</si>
  <si>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</si>
  <si>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</si>
  <si>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</si>
  <si>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</si>
  <si>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</si>
  <si>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</si>
  <si>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</si>
  <si>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</si>
  <si>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</si>
  <si>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</si>
  <si>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</si>
  <si>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</si>
  <si>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</si>
  <si>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</si>
  <si>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</si>
  <si>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</si>
  <si>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</si>
  <si>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</si>
  <si>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</si>
  <si>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</si>
  <si>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</si>
  <si>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</si>
  <si>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</si>
  <si>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</si>
  <si>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</si>
  <si>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</si>
  <si>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</si>
  <si>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</si>
  <si>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</si>
  <si>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</si>
  <si>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</si>
  <si>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</si>
  <si>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</si>
  <si>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</si>
  <si>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</si>
  <si>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</si>
  <si>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</si>
  <si>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</si>
  <si>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</si>
  <si>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</si>
  <si>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</si>
  <si>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</si>
  <si>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</si>
  <si>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</si>
  <si>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</si>
  <si>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</si>
  <si>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</si>
  <si>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</si>
  <si>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</si>
  <si>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</si>
  <si>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</si>
  <si>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</si>
  <si>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</si>
  <si>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</si>
  <si>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</si>
  <si>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</si>
  <si>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</si>
  <si>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</si>
  <si>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</si>
  <si>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</si>
  <si>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</si>
  <si>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</si>
  <si>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</si>
  <si>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</si>
  <si>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</si>
  <si>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</si>
  <si>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</si>
  <si>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</si>
  <si>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</si>
  <si>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</si>
  <si>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</si>
  <si>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</si>
  <si>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</si>
  <si>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</si>
  <si>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</si>
  <si>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</si>
  <si>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</si>
  <si>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</si>
  <si>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</si>
  <si>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</si>
  <si>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</si>
  <si>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</si>
  <si>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</si>
  <si>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</si>
  <si>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</si>
  <si>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</si>
  <si>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</si>
  <si>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</si>
  <si>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</si>
  <si>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</si>
  <si>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</si>
  <si>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</si>
  <si>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</si>
  <si>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</si>
  <si>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</si>
  <si>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</si>
  <si>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</si>
  <si>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</si>
  <si>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</si>
  <si>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</si>
  <si>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</si>
  <si>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</si>
  <si>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</si>
  <si>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</si>
  <si>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</si>
  <si>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</si>
  <si>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</si>
  <si>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</si>
  <si>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</si>
  <si>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</si>
  <si>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</si>
  <si>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</si>
  <si>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</si>
  <si>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</si>
  <si>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</si>
  <si>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</si>
  <si>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</si>
  <si>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</si>
  <si>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</si>
  <si>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</si>
  <si>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</si>
  <si>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</si>
  <si>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</si>
  <si>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</si>
  <si>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</si>
  <si>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</si>
  <si>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</si>
  <si>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</si>
  <si>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</si>
  <si>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</si>
  <si>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</si>
  <si>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</si>
  <si>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</si>
  <si>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</si>
  <si>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</si>
  <si>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</si>
  <si>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</si>
  <si>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</si>
  <si>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</si>
  <si>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</si>
  <si>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</si>
  <si>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</si>
  <si>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</si>
  <si>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</si>
  <si>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</si>
  <si>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</si>
  <si>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</si>
  <si>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</si>
  <si>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</si>
  <si>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</si>
  <si>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</si>
  <si>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</si>
  <si>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</si>
  <si>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</si>
  <si>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</si>
  <si>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</si>
  <si>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</si>
  <si>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</si>
  <si>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</si>
  <si>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</si>
  <si>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</si>
  <si>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</si>
  <si>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</si>
  <si>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</si>
  <si>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</si>
  <si>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</si>
  <si>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</si>
  <si>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</si>
  <si>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</si>
  <si>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</si>
  <si>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</si>
  <si>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</si>
  <si>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</si>
  <si>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</si>
  <si>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</si>
  <si>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</si>
  <si>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</si>
  <si>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</si>
  <si>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</si>
  <si>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</si>
  <si>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</si>
  <si>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</si>
  <si>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</si>
  <si>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</si>
  <si>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</si>
  <si>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</si>
  <si>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</si>
  <si>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</si>
  <si>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</si>
  <si>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</si>
  <si>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</si>
  <si>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</si>
  <si>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</si>
  <si>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</si>
  <si>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</si>
  <si>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</si>
  <si>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</si>
  <si>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</si>
  <si>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</si>
  <si>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</si>
  <si>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</si>
  <si>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</si>
  <si>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</si>
  <si>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</si>
  <si>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</si>
  <si>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</si>
  <si>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</si>
  <si>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</si>
  <si>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</si>
  <si>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</si>
  <si>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</si>
  <si>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</si>
  <si>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</si>
  <si>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</si>
  <si>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</si>
  <si>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</si>
  <si>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</si>
  <si>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</si>
  <si>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</si>
  <si>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</si>
  <si>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</si>
  <si>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</si>
  <si>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</si>
  <si>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</si>
  <si>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</si>
  <si>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</si>
  <si>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</si>
  <si>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</si>
  <si>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</si>
  <si>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</si>
  <si>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</si>
  <si>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</si>
  <si>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</si>
  <si>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</si>
  <si>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</si>
  <si>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</si>
  <si>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</si>
  <si>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</si>
  <si>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</si>
  <si>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</si>
  <si>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</si>
  <si>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</si>
  <si>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</si>
  <si>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</si>
  <si>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</si>
  <si>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</si>
  <si>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</si>
  <si>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</si>
  <si>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</si>
  <si>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</si>
  <si>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</si>
  <si>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</si>
  <si>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</si>
  <si>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</si>
  <si>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</si>
  <si>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</si>
  <si>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</si>
  <si>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</si>
  <si>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</si>
  <si>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</si>
  <si>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</si>
  <si>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</si>
  <si>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</si>
  <si>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</si>
  <si>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</si>
  <si>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</si>
  <si>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</si>
  <si>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</si>
  <si>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</si>
  <si>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</si>
  <si>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</si>
  <si>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</si>
  <si>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</si>
  <si>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</si>
  <si>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</si>
  <si>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</si>
  <si>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</si>
  <si>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</si>
  <si>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</si>
  <si>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</si>
  <si>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</si>
  <si>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</si>
  <si>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</si>
  <si>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</si>
  <si>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</si>
  <si>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</si>
  <si>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</si>
  <si>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</si>
  <si>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</si>
  <si>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</si>
  <si>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</si>
  <si>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</si>
  <si>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</si>
  <si>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</si>
  <si>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</si>
  <si>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</si>
  <si>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</si>
  <si>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</si>
  <si>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</si>
  <si>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</si>
  <si>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</si>
  <si>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</si>
  <si>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</si>
  <si>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</si>
  <si>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</si>
  <si>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</si>
  <si>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</si>
  <si>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</si>
  <si>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</si>
  <si>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</si>
  <si>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</si>
  <si>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</si>
  <si>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</si>
  <si>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</si>
  <si>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</si>
  <si>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</si>
  <si>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</si>
  <si>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</si>
  <si>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</si>
  <si>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</si>
  <si>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</si>
  <si>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</si>
  <si>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</si>
  <si>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</si>
  <si>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</si>
  <si>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</si>
  <si>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</si>
  <si>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</si>
  <si>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</si>
  <si>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</si>
  <si>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</si>
  <si>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</si>
  <si>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</si>
  <si>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</si>
  <si>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</si>
  <si>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</si>
  <si>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</si>
  <si>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</si>
  <si>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</si>
  <si>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</si>
  <si>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</si>
  <si>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</si>
  <si>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</si>
  <si>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</si>
  <si>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</si>
  <si>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</si>
  <si>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</si>
  <si>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</si>
  <si>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</si>
  <si>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</si>
  <si>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</si>
  <si>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</si>
  <si>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</si>
  <si>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</si>
  <si>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</si>
  <si>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</si>
  <si>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</si>
  <si>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</si>
  <si>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</si>
  <si>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</si>
  <si>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</si>
  <si>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</si>
  <si>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</si>
  <si>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</si>
  <si>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</si>
  <si>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</si>
  <si>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</si>
  <si>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</si>
  <si>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</si>
  <si>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</si>
  <si>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</si>
  <si>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</si>
  <si>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</si>
  <si>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</si>
  <si>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</si>
  <si>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</si>
  <si>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</si>
  <si>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</si>
  <si>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</si>
  <si>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</si>
  <si>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</si>
  <si>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</si>
  <si>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</si>
  <si>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</si>
  <si>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</si>
  <si>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</si>
  <si>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</si>
  <si>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</si>
  <si>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</si>
  <si>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</si>
  <si>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</si>
  <si>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</si>
  <si>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</si>
  <si>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</si>
  <si>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</si>
  <si>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</si>
  <si>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</si>
  <si>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</si>
  <si>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</si>
  <si>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</si>
  <si>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</si>
  <si>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</si>
  <si>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</si>
  <si>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</si>
  <si>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</si>
  <si>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</si>
  <si>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</si>
  <si>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</si>
  <si>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</si>
  <si>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</si>
  <si>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</si>
  <si>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</si>
  <si>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</si>
  <si>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</si>
  <si>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</si>
  <si>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</si>
  <si>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</si>
  <si>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</si>
  <si>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</si>
  <si>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</si>
  <si>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</si>
  <si>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</si>
  <si>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</si>
  <si>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</si>
  <si>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</si>
  <si>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</si>
  <si>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</si>
  <si>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</si>
  <si>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</si>
  <si>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</si>
  <si>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</si>
  <si>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</si>
  <si>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</si>
  <si>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</si>
  <si>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</si>
  <si>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</si>
  <si>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</si>
  <si>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</si>
  <si>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</si>
  <si>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</si>
  <si>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</si>
  <si>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</si>
  <si>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</si>
  <si>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</si>
  <si>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</si>
  <si>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</si>
  <si>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</si>
  <si>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</si>
  <si>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</si>
  <si>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</si>
  <si>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</si>
  <si>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</si>
  <si>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</si>
  <si>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</si>
  <si>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</si>
  <si>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</si>
  <si>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</si>
  <si>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</si>
  <si>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</si>
  <si>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</si>
  <si>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</si>
  <si>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</si>
  <si>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</si>
  <si>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</si>
  <si>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</si>
  <si>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</si>
  <si>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</si>
  <si>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</si>
  <si>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</si>
  <si>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</si>
  <si>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</si>
  <si>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</si>
  <si>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</si>
  <si>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</si>
  <si>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</si>
  <si>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</si>
  <si>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</si>
  <si>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</si>
  <si>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</si>
  <si>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</si>
  <si>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</si>
  <si>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</si>
  <si>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</si>
  <si>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</si>
  <si>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</si>
  <si>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</si>
  <si>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</si>
  <si>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</si>
  <si>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</si>
  <si>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</si>
  <si>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</si>
  <si>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</si>
  <si>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</si>
  <si>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</si>
  <si>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</si>
  <si>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</si>
  <si>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</si>
  <si>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</si>
  <si>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</si>
  <si>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</si>
  <si>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</si>
  <si>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</si>
  <si>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</si>
  <si>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</si>
  <si>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</si>
  <si>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</si>
  <si>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</si>
  <si>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</si>
  <si>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</si>
  <si>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</si>
  <si>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</si>
  <si>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</si>
  <si>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</si>
  <si>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</si>
  <si>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</si>
  <si>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</si>
  <si>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</si>
  <si>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</si>
  <si>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</si>
  <si>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</si>
  <si>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</si>
  <si>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</si>
  <si>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</si>
  <si>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</si>
  <si>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</si>
  <si>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</si>
  <si>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</si>
  <si>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</si>
  <si>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</si>
  <si>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</si>
  <si>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</si>
  <si>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</si>
  <si>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</si>
  <si>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</si>
  <si>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</si>
  <si>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</si>
  <si>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</si>
  <si>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</si>
  <si>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</si>
  <si>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</si>
  <si>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</si>
  <si>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</si>
  <si>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</si>
  <si>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</si>
  <si>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</si>
  <si>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</si>
  <si>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</si>
  <si>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</si>
  <si>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</si>
  <si>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</si>
  <si>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</si>
  <si>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</si>
  <si>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</si>
  <si>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</si>
  <si>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</si>
  <si>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</si>
  <si>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</si>
  <si>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</si>
  <si>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</si>
  <si>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</si>
  <si>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</si>
  <si>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</si>
  <si>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</si>
  <si>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</si>
  <si>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</si>
  <si>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</si>
  <si>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</si>
  <si>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</si>
  <si>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</si>
  <si>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</si>
  <si>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</si>
  <si>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</si>
  <si>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</si>
  <si>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</si>
  <si>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</si>
  <si>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</si>
  <si>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</si>
  <si>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</si>
  <si>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</si>
  <si>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</si>
  <si>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</si>
  <si>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</si>
  <si>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</si>
  <si>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</si>
  <si>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</si>
  <si>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</si>
  <si>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</si>
  <si>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</si>
  <si>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</si>
  <si>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</si>
  <si>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</si>
  <si>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</si>
  <si>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</si>
  <si>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</si>
  <si>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</si>
  <si>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</si>
  <si>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</si>
  <si>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</si>
  <si>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</si>
  <si>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</si>
  <si>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</si>
  <si>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</si>
  <si>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</si>
  <si>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</si>
  <si>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</si>
  <si>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</si>
  <si>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</si>
  <si>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</si>
  <si>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</si>
  <si>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</si>
  <si>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</si>
  <si>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</si>
  <si>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</si>
  <si>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</si>
  <si>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</si>
  <si>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</si>
  <si>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</si>
  <si>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</si>
  <si>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</si>
  <si>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</si>
  <si>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</si>
  <si>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</si>
  <si>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</si>
  <si>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</si>
  <si>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</si>
  <si>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</si>
  <si>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</si>
  <si>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</si>
  <si>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</si>
  <si>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</si>
  <si>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</si>
  <si>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</si>
  <si>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</si>
  <si>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</si>
  <si>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</si>
  <si>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</si>
  <si>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</si>
  <si>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</si>
  <si>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</si>
  <si>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</si>
  <si>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</si>
  <si>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</si>
  <si>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</si>
  <si>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</si>
  <si>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</si>
  <si>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</si>
  <si>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</si>
  <si>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</si>
  <si>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</si>
  <si>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</si>
  <si>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</si>
  <si>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</si>
  <si>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</si>
  <si>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</si>
  <si>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</si>
  <si>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</si>
  <si>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</si>
  <si>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</si>
  <si>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</si>
  <si>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</si>
  <si>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</si>
  <si>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</si>
  <si>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</si>
  <si>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</si>
  <si>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</si>
  <si>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</si>
  <si>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</si>
  <si>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</si>
  <si>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</si>
  <si>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</si>
  <si>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</si>
  <si>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</si>
  <si>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</si>
  <si>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</si>
  <si>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</si>
  <si>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</si>
  <si>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</si>
  <si>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</si>
  <si>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</si>
  <si>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</si>
  <si>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</si>
  <si>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</si>
  <si>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</si>
  <si>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</si>
  <si>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</si>
  <si>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</si>
  <si>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</si>
  <si>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</si>
  <si>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</si>
  <si>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</si>
  <si>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</si>
  <si>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</si>
  <si>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</si>
  <si>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</si>
  <si>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</si>
  <si>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</si>
  <si>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</si>
  <si>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</si>
  <si>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</si>
  <si>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</si>
  <si>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</si>
  <si>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</si>
  <si>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</si>
  <si>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</si>
  <si>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</si>
  <si>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</si>
  <si>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</si>
  <si>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</si>
  <si>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</si>
  <si>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</si>
  <si>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</si>
  <si>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</si>
  <si>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</si>
  <si>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</si>
  <si>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</si>
  <si>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</si>
  <si>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</si>
  <si>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</si>
  <si>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</si>
  <si>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</si>
  <si>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</si>
  <si>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</si>
  <si>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</si>
  <si>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</si>
  <si>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</si>
  <si>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</si>
  <si>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</si>
  <si>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</si>
  <si>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</si>
  <si>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</si>
  <si>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</si>
  <si>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</si>
  <si>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</si>
  <si>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</si>
  <si>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</si>
  <si>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</si>
  <si>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</si>
  <si>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</si>
  <si>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</si>
  <si>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</si>
  <si>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</si>
  <si>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</si>
  <si>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</si>
  <si>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</si>
  <si>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</si>
  <si>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</si>
  <si>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</si>
  <si>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</si>
  <si>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</si>
  <si>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</si>
  <si>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</si>
  <si>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</si>
  <si>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</si>
  <si>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</si>
  <si>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</si>
  <si>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</si>
  <si>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</si>
  <si>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</si>
  <si>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</si>
  <si>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</si>
  <si>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</si>
  <si>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</si>
  <si>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</si>
  <si>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</si>
  <si>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</si>
  <si>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</si>
  <si>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</si>
  <si>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</si>
  <si>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</si>
  <si>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</si>
  <si>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</si>
  <si>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</si>
  <si>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</si>
  <si>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</si>
  <si>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</si>
  <si>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</si>
  <si>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</si>
  <si>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</si>
  <si>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</si>
  <si>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</si>
  <si>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</si>
  <si>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</si>
  <si>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</si>
  <si>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</si>
  <si>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</si>
  <si>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</si>
  <si>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</si>
  <si>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</si>
  <si>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</si>
  <si>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</si>
  <si>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</si>
  <si>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</si>
  <si>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</si>
  <si>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</si>
  <si>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</si>
  <si>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</si>
  <si>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</si>
  <si>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</si>
  <si>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</si>
  <si>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</si>
  <si>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</si>
  <si>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</si>
  <si>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</si>
  <si>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</si>
  <si>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</si>
  <si>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</si>
  <si>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</si>
  <si>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</si>
  <si>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</si>
  <si>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</si>
  <si>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</si>
  <si>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</si>
  <si>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</si>
  <si>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</si>
  <si>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</si>
  <si>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</si>
  <si>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</si>
  <si>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</si>
  <si>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</si>
  <si>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</si>
  <si>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</si>
  <si>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</si>
  <si>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</si>
  <si>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</si>
  <si>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</si>
  <si>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</si>
  <si>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</si>
  <si>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</si>
  <si>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</si>
  <si>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</si>
  <si>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</si>
  <si>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</si>
  <si>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</si>
  <si>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</si>
  <si>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</si>
  <si>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</si>
  <si>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</si>
  <si>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</si>
  <si>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</si>
  <si>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</si>
  <si>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</si>
  <si>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</si>
  <si>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</si>
  <si>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</si>
  <si>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</si>
  <si>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</si>
  <si>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</si>
  <si>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</si>
  <si>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</si>
  <si>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</si>
  <si>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</si>
  <si>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</si>
  <si>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</si>
  <si>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</si>
  <si>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</si>
  <si>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</si>
  <si>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</si>
  <si>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</si>
  <si>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</si>
  <si>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</si>
  <si>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</si>
  <si>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</si>
  <si>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</si>
  <si>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</si>
  <si>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</si>
  <si>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</si>
  <si>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</si>
  <si>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</si>
  <si>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</si>
  <si>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</si>
  <si>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</si>
  <si>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</si>
  <si>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</si>
  <si>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</si>
  <si>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</si>
  <si>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</si>
  <si>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</si>
  <si>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</si>
  <si>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</si>
  <si>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</si>
  <si>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</si>
  <si>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</si>
  <si>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</si>
  <si>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</si>
  <si>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</si>
  <si>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</si>
  <si>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</si>
  <si>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</si>
  <si>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</si>
  <si>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</si>
  <si>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</si>
  <si>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</si>
  <si>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</si>
  <si>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</si>
  <si>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</si>
  <si>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</si>
  <si>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</si>
  <si>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</si>
  <si>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</si>
  <si>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</si>
  <si>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</si>
  <si>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</si>
  <si>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</si>
  <si>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</si>
  <si>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</si>
  <si>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</si>
  <si>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</si>
  <si>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</si>
  <si>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</si>
  <si>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</si>
  <si>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</si>
  <si>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</si>
  <si>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</si>
  <si>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</si>
  <si>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</si>
  <si>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</si>
  <si>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</si>
  <si>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</si>
  <si>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</si>
  <si>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</si>
  <si>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</si>
  <si>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</si>
  <si>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</si>
  <si>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</si>
  <si>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</si>
  <si>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</si>
  <si>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</si>
  <si>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</si>
  <si>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</si>
  <si>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</si>
  <si>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</si>
  <si>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</si>
  <si>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</si>
  <si>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</si>
  <si>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</si>
  <si>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</si>
  <si>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</si>
  <si>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</si>
  <si>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</si>
  <si>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</si>
  <si>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</si>
  <si>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</si>
  <si>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</si>
  <si>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</si>
  <si>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</si>
  <si>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</si>
  <si>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</si>
  <si>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</si>
  <si>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</si>
  <si>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</si>
  <si>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</si>
  <si>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</si>
  <si>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</si>
  <si>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</si>
  <si>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</si>
  <si>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</si>
  <si>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</si>
  <si>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</si>
  <si>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</si>
  <si>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</si>
  <si>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</si>
  <si>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</si>
  <si>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</si>
  <si>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</si>
  <si>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</si>
  <si>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</si>
  <si>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</si>
  <si>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</si>
  <si>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</si>
  <si>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</si>
  <si>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</si>
  <si>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</si>
  <si>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</si>
  <si>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</si>
  <si>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</si>
  <si>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</si>
  <si>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</si>
  <si>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</si>
  <si>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</si>
  <si>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</si>
  <si>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</si>
  <si>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</si>
  <si>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</si>
  <si>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</si>
  <si>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</si>
  <si>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</si>
  <si>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</si>
  <si>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</si>
  <si>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</si>
  <si>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</si>
  <si>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</si>
  <si>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</si>
  <si>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</si>
  <si>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</si>
  <si>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</si>
  <si>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</si>
  <si>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</si>
  <si>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</si>
  <si>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</si>
  <si>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</si>
  <si>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</si>
  <si>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</si>
  <si>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</si>
  <si>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</si>
  <si>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</si>
  <si>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</si>
  <si>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</si>
  <si>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</si>
  <si>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</si>
  <si>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</si>
  <si>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</si>
  <si>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</si>
  <si>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</si>
  <si>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</si>
  <si>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</si>
  <si>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</si>
  <si>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</si>
  <si>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</si>
  <si>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</si>
  <si>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</si>
  <si>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</si>
  <si>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</si>
  <si>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</si>
  <si>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</si>
  <si>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</si>
  <si>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</si>
  <si>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</si>
  <si>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</si>
  <si>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</si>
  <si>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</si>
  <si>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</si>
  <si>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</si>
  <si>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</si>
  <si>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</si>
  <si>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</si>
  <si>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</si>
  <si>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</si>
  <si>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</si>
  <si>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</si>
  <si>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</si>
  <si>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</si>
  <si>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</si>
  <si>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</si>
  <si>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</si>
  <si>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</si>
  <si>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</si>
  <si>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</si>
  <si>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</si>
  <si>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</si>
  <si>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</si>
  <si>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</si>
  <si>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</si>
  <si>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</si>
  <si>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</si>
  <si>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</si>
  <si>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</si>
  <si>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</si>
  <si>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</si>
  <si>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</si>
  <si>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</si>
  <si>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</si>
  <si>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</si>
  <si>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</si>
  <si>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</si>
  <si>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</si>
  <si>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</si>
  <si>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</si>
  <si>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</si>
  <si>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</si>
  <si>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</si>
  <si>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</si>
  <si>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</si>
  <si>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</si>
  <si>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</si>
  <si>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</si>
  <si>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</si>
  <si>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</si>
  <si>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</si>
  <si>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</si>
  <si>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</si>
  <si>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</si>
  <si>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</si>
  <si>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</si>
  <si>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</si>
  <si>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</si>
  <si>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</si>
  <si>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</si>
  <si>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</si>
  <si>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</si>
  <si>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</si>
  <si>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</si>
  <si>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</si>
  <si>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</si>
  <si>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</si>
  <si>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</si>
  <si>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</si>
  <si>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</si>
  <si>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</si>
  <si>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</si>
  <si>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</si>
  <si>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</si>
  <si>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</si>
  <si>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</si>
  <si>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</si>
  <si>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</si>
  <si>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</si>
  <si>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</si>
  <si>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</si>
  <si>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</si>
  <si>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</si>
  <si>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</si>
  <si>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</si>
  <si>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</si>
  <si>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</si>
  <si>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</si>
  <si>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</si>
  <si>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</si>
  <si>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</si>
  <si>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</si>
  <si>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</si>
  <si>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</si>
  <si>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</si>
  <si>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</si>
  <si>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</si>
  <si>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</si>
  <si>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</si>
  <si>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</si>
  <si>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</si>
  <si>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</si>
  <si>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</si>
  <si>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</si>
  <si>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</si>
  <si>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</si>
  <si>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</si>
  <si>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</si>
  <si>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</si>
  <si>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</si>
  <si>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</si>
  <si>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</si>
  <si>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</si>
  <si>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</si>
  <si>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</si>
  <si>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</si>
  <si>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</si>
  <si>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</si>
  <si>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</si>
  <si>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</si>
  <si>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</si>
  <si>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</si>
  <si>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</si>
  <si>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</si>
  <si>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</si>
  <si>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</si>
  <si>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</si>
  <si>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</si>
  <si>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</si>
  <si>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</si>
  <si>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</si>
  <si>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</si>
  <si>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</si>
  <si>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</si>
  <si>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</si>
  <si>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</si>
  <si>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</si>
  <si>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</si>
  <si>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</si>
  <si>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</si>
  <si>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</si>
  <si>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</si>
  <si>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</si>
  <si>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</si>
  <si>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</si>
  <si>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</si>
  <si>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</si>
  <si>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</si>
  <si>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</si>
  <si>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</si>
  <si>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</si>
  <si>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</si>
  <si>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</si>
  <si>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</si>
  <si>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</si>
  <si>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</si>
  <si>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</si>
  <si>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</si>
  <si>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</si>
  <si>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</si>
  <si>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</si>
  <si>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</si>
  <si>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</si>
  <si>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</si>
  <si>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</si>
  <si>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</si>
  <si>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</si>
  <si>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</si>
  <si>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</si>
  <si>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</si>
  <si>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</si>
  <si>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</si>
  <si>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</si>
  <si>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</si>
  <si>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</si>
  <si>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</si>
  <si>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</si>
  <si>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</si>
  <si>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</si>
  <si>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</si>
  <si>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</si>
  <si>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</si>
  <si>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</si>
  <si>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</si>
  <si>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</si>
  <si>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</si>
  <si>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</si>
  <si>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</si>
  <si>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</si>
  <si>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</si>
  <si>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</si>
  <si>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</si>
  <si>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</si>
  <si>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</si>
  <si>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</si>
  <si>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</si>
  <si>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</si>
  <si>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</si>
  <si>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</si>
  <si>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</si>
  <si>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</si>
  <si>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</si>
  <si>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</si>
  <si>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</si>
  <si>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</si>
  <si>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</si>
  <si>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</si>
  <si>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</si>
  <si>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</si>
  <si>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</si>
  <si>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</si>
  <si>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</si>
  <si>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</si>
  <si>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</si>
  <si>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</si>
  <si>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</si>
  <si>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</si>
  <si>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</si>
  <si>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</si>
  <si>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</si>
  <si>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</si>
  <si>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</si>
  <si>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</si>
  <si>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</si>
  <si>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</si>
  <si>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</si>
  <si>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</si>
  <si>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</si>
  <si>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</si>
  <si>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</si>
  <si>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</si>
  <si>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</si>
  <si>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</si>
  <si>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</si>
  <si>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</si>
  <si>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</si>
  <si>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</si>
  <si>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</si>
  <si>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</si>
  <si>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</si>
  <si>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</si>
  <si>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</si>
  <si>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</si>
  <si>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</si>
  <si>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</si>
  <si>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</si>
  <si>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</si>
  <si>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</si>
  <si>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</si>
  <si>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</si>
  <si>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</si>
  <si>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</si>
  <si>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</si>
  <si>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</si>
  <si>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</si>
  <si>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</si>
  <si>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</si>
  <si>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</si>
  <si>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</si>
  <si>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</si>
  <si>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</si>
  <si>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</si>
  <si>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</si>
  <si>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</si>
  <si>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</si>
  <si>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</si>
  <si>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</si>
  <si>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</si>
  <si>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</si>
  <si>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</si>
  <si>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</si>
  <si>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</si>
  <si>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</si>
  <si>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</si>
  <si>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</si>
  <si>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</si>
  <si>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</si>
  <si>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</si>
  <si>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</si>
  <si>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</si>
  <si>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</si>
  <si>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</si>
  <si>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</si>
  <si>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</si>
  <si>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</si>
  <si>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</si>
  <si>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</si>
  <si>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</si>
  <si>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</si>
  <si>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</si>
  <si>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</si>
  <si>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</si>
  <si>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</si>
  <si>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</si>
  <si>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</si>
  <si>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</si>
  <si>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</si>
  <si>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</si>
  <si>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</si>
  <si>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</si>
  <si>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</si>
  <si>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</si>
  <si>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</si>
  <si>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</si>
  <si>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</si>
  <si>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</si>
  <si>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</si>
  <si>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</si>
  <si>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</si>
  <si>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</si>
  <si>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</si>
  <si>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</si>
  <si>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</si>
  <si>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</si>
  <si>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</si>
  <si>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</si>
  <si>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</si>
  <si>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</si>
  <si>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</si>
  <si>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</si>
  <si>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</si>
  <si>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</si>
  <si>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</si>
  <si>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</si>
  <si>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</si>
  <si>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</si>
  <si>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</si>
  <si>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</si>
  <si>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</si>
  <si>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</si>
  <si>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</si>
  <si>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</si>
  <si>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</si>
  <si>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</si>
  <si>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</si>
  <si>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</si>
  <si>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</si>
  <si>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</si>
  <si>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</si>
  <si>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</si>
  <si>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</si>
  <si>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</si>
  <si>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</si>
  <si>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</si>
  <si>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</si>
  <si>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</si>
  <si>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</si>
  <si>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</si>
  <si>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</si>
  <si>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</si>
  <si>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</si>
  <si>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</si>
  <si>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</si>
  <si>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</si>
  <si>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</si>
  <si>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</si>
  <si>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</si>
  <si>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</si>
  <si>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</si>
  <si>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</si>
  <si>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</si>
  <si>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</si>
  <si>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</si>
  <si>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</si>
  <si>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</si>
  <si>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</si>
  <si>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</si>
  <si>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</si>
  <si>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</si>
  <si>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</si>
  <si>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</si>
  <si>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</si>
  <si>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</si>
  <si>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</si>
  <si>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</si>
  <si>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</si>
  <si>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</si>
  <si>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</si>
  <si>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</si>
  <si>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</si>
  <si>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</si>
  <si>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</si>
  <si>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</si>
  <si>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</si>
  <si>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</si>
  <si>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</si>
  <si>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</si>
  <si>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</si>
  <si>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</si>
  <si>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</si>
  <si>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</si>
  <si>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</si>
  <si>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</si>
  <si>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</si>
  <si>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</si>
  <si>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</si>
  <si>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</si>
  <si>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</si>
  <si>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</si>
  <si>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</si>
  <si>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</si>
  <si>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</si>
  <si>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</si>
  <si>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</si>
  <si>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</si>
  <si>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</si>
  <si>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</si>
  <si>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</si>
  <si>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</si>
  <si>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</si>
  <si>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</si>
  <si>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</si>
  <si>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</si>
  <si>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</si>
  <si>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</si>
  <si>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</si>
  <si>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</si>
  <si>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</si>
  <si>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</si>
  <si>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</si>
  <si>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</si>
  <si>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</si>
  <si>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</si>
  <si>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</si>
  <si>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</si>
  <si>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</si>
  <si>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</si>
  <si>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</si>
  <si>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</si>
  <si>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</si>
  <si>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</si>
  <si>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</si>
  <si>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</si>
  <si>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</si>
  <si>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</si>
  <si>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</si>
  <si>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</si>
  <si>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</si>
  <si>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</si>
  <si>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</si>
  <si>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</si>
  <si>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</si>
  <si>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</si>
  <si>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</si>
  <si>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</si>
  <si>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</si>
  <si>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</si>
  <si>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</si>
  <si>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</si>
  <si>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</si>
  <si>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</si>
  <si>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</si>
  <si>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</si>
  <si>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</si>
  <si>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</si>
  <si>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</si>
  <si>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</si>
  <si>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</si>
  <si>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</si>
  <si>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</si>
  <si>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</si>
  <si>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</si>
  <si>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</si>
  <si>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</si>
  <si>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</si>
  <si>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</si>
  <si>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</si>
  <si>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</si>
  <si>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</si>
  <si>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</si>
  <si>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</si>
  <si>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</si>
  <si>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</si>
  <si>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</si>
  <si>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</si>
  <si>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</si>
  <si>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</si>
  <si>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</si>
  <si>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</si>
  <si>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</si>
  <si>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</si>
  <si>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</si>
  <si>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</si>
  <si>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</si>
  <si>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</si>
  <si>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</si>
  <si>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</si>
  <si>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</si>
  <si>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</si>
  <si>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</si>
  <si>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</si>
  <si>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</si>
  <si>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</si>
  <si>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</si>
  <si>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</si>
  <si>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</si>
  <si>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</si>
  <si>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</si>
  <si>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</si>
  <si>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</si>
  <si>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</si>
  <si>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</si>
  <si>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</si>
  <si>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</si>
  <si>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</si>
  <si>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</si>
  <si>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</si>
  <si>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</si>
  <si>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</si>
  <si>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</si>
  <si>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</si>
  <si>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</si>
  <si>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</si>
  <si>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</si>
  <si>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</si>
  <si>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</si>
  <si>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</si>
  <si>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</si>
  <si>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</si>
  <si>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</si>
  <si>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</si>
  <si>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</si>
  <si>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</si>
  <si>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</si>
  <si>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</si>
  <si>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</si>
  <si>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</si>
  <si>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</si>
  <si>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</si>
  <si>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</si>
  <si>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</si>
  <si>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</si>
  <si>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</si>
  <si>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</si>
  <si>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</si>
  <si>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</si>
  <si>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</si>
  <si>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</si>
  <si>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</si>
  <si>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</si>
  <si>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</si>
  <si>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</si>
  <si>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</si>
  <si>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</si>
  <si>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</si>
  <si>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</si>
  <si>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</si>
  <si>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</si>
  <si>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</si>
  <si>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</si>
  <si>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</si>
  <si>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</si>
  <si>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</si>
  <si>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</si>
  <si>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</si>
  <si>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</si>
  <si>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</si>
  <si>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</si>
  <si>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</si>
  <si>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</si>
  <si>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</si>
  <si>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</si>
  <si>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</si>
  <si>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</si>
  <si>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</si>
  <si>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</si>
  <si>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</si>
  <si>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</si>
  <si>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</si>
  <si>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</si>
  <si>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</si>
  <si>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</si>
  <si>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</si>
  <si>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</si>
  <si>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</si>
  <si>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</si>
  <si>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</si>
  <si>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</si>
  <si>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</si>
  <si>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</si>
  <si>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</si>
  <si>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</si>
  <si>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</si>
  <si>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</si>
  <si>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</si>
  <si>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</si>
  <si>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</si>
  <si>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</si>
  <si>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</si>
  <si>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</si>
  <si>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</si>
  <si>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</si>
  <si>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</si>
  <si>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</si>
  <si>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</si>
  <si>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</si>
  <si>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</si>
  <si>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</si>
  <si>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</si>
  <si>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</si>
  <si>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</si>
  <si>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</si>
  <si>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</si>
  <si>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</si>
  <si>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</si>
  <si>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</si>
  <si>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</si>
  <si>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</si>
  <si>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</si>
  <si>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</si>
  <si>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</si>
  <si>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</si>
  <si>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</si>
  <si>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</si>
  <si>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</si>
  <si>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</si>
  <si>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</si>
  <si>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</si>
  <si>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</si>
  <si>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</si>
  <si>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</si>
  <si>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</si>
  <si>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</si>
  <si>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</si>
  <si>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</si>
  <si>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</si>
  <si>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</si>
  <si>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</si>
  <si>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</si>
  <si>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</si>
  <si>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</si>
  <si>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</si>
  <si>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</si>
  <si>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</si>
  <si>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</si>
  <si>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</si>
  <si>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</si>
  <si>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</si>
  <si>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</si>
  <si>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</si>
  <si>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</si>
  <si>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</si>
  <si>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</si>
  <si>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</si>
  <si>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</si>
  <si>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</si>
  <si>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</si>
  <si>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</si>
  <si>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</si>
  <si>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</si>
  <si>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</si>
  <si>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</si>
  <si>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</si>
  <si>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</si>
  <si>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</si>
  <si>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</si>
  <si>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</si>
  <si>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</si>
  <si>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</si>
  <si>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</si>
  <si>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</si>
  <si>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</si>
  <si>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</si>
  <si>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</si>
  <si>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</si>
  <si>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</si>
  <si>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</si>
  <si>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</si>
  <si>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</si>
  <si>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</si>
  <si>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</si>
  <si>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</si>
  <si>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</si>
  <si>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</si>
  <si>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</si>
  <si>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</si>
  <si>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</si>
  <si>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</si>
  <si>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</si>
  <si>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</si>
  <si>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</si>
  <si>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</si>
  <si>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</si>
  <si>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</si>
  <si>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</si>
  <si>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</si>
  <si>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</si>
  <si>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</si>
  <si>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</si>
  <si>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</si>
  <si>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</si>
  <si>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</si>
  <si>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</si>
  <si>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</si>
  <si>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</si>
  <si>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</si>
  <si>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</si>
  <si>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</si>
  <si>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</si>
  <si>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</si>
  <si>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</si>
  <si>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</si>
  <si>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</si>
  <si>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</si>
  <si>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</si>
  <si>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</si>
  <si>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</si>
  <si>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</si>
  <si>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</si>
  <si>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</si>
  <si>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</si>
  <si>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</si>
  <si>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</si>
  <si>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</si>
  <si>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</si>
  <si>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</si>
  <si>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</si>
  <si>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</si>
  <si>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</si>
  <si>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</si>
  <si>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</si>
  <si>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</si>
  <si>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</si>
  <si>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</si>
  <si>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</si>
  <si>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</si>
  <si>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</si>
  <si>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</si>
  <si>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</si>
  <si>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</si>
  <si>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</si>
  <si>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</si>
  <si>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</si>
  <si>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</si>
  <si>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</si>
  <si>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</si>
  <si>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</si>
  <si>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</si>
  <si>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</si>
  <si>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</si>
  <si>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</si>
  <si>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</si>
  <si>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</si>
  <si>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</si>
  <si>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</si>
  <si>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</si>
  <si>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</si>
  <si>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</si>
  <si>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</si>
  <si>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</si>
  <si>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</si>
  <si>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</si>
  <si>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</si>
  <si>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</si>
  <si>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</si>
  <si>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</si>
  <si>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</si>
  <si>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</si>
  <si>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</si>
  <si>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</si>
  <si>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</si>
  <si>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</si>
  <si>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</si>
  <si>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</si>
  <si>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</si>
  <si>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</si>
  <si>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</si>
  <si>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</si>
  <si>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</si>
  <si>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</si>
  <si>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</si>
  <si>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</si>
  <si>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</si>
  <si>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</si>
  <si>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</si>
  <si>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</si>
  <si>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</si>
  <si>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</si>
  <si>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</si>
  <si>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</si>
  <si>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</si>
  <si>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</si>
  <si>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</si>
  <si>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</si>
  <si>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</si>
  <si>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</si>
  <si>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</si>
  <si>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</si>
  <si>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</si>
  <si>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</si>
  <si>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</si>
  <si>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</si>
  <si>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</si>
  <si>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</si>
  <si>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</si>
  <si>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</si>
  <si>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</si>
  <si>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</si>
  <si>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</si>
  <si>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</si>
  <si>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</si>
  <si>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</si>
  <si>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</si>
  <si>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</si>
  <si>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</si>
  <si>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</si>
  <si>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</si>
  <si>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</si>
  <si>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</si>
  <si>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</si>
  <si>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</si>
  <si>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</si>
  <si>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</si>
  <si>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</si>
  <si>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</si>
  <si>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</si>
  <si>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</si>
  <si>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</si>
  <si>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</si>
  <si>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</si>
  <si>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</si>
  <si>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</si>
  <si>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</si>
  <si>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</si>
  <si>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</si>
  <si>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</si>
  <si>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</si>
  <si>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</si>
  <si>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</si>
  <si>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</si>
  <si>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</si>
  <si>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</si>
  <si>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</si>
  <si>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</si>
  <si>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</si>
  <si>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</si>
  <si>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</si>
  <si>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</si>
  <si>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</si>
  <si>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</si>
  <si>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</si>
  <si>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</si>
  <si>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</si>
  <si>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</si>
  <si>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</si>
  <si>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</si>
  <si>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</si>
  <si>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</si>
  <si>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</si>
  <si>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</si>
  <si>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</si>
  <si>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</si>
  <si>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</si>
  <si>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</si>
  <si>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</si>
  <si>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</si>
  <si>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</si>
  <si>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</si>
  <si>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</si>
  <si>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</si>
  <si>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</si>
  <si>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</si>
  <si>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</si>
  <si>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</si>
  <si>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</si>
  <si>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</si>
  <si>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</si>
  <si>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</si>
  <si>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</si>
  <si>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</si>
  <si>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</si>
  <si>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</si>
  <si>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</si>
  <si>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</si>
  <si>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</si>
  <si>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</si>
  <si>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</si>
  <si>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</si>
  <si>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</si>
  <si>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</si>
  <si>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</si>
  <si>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</si>
  <si>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</si>
  <si>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</si>
  <si>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</si>
  <si>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</si>
  <si>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</si>
  <si>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</si>
  <si>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</si>
  <si>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</si>
  <si>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</si>
  <si>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</si>
  <si>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</si>
  <si>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</si>
  <si>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</si>
  <si>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</si>
  <si>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</si>
  <si>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</si>
  <si>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</si>
  <si>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</si>
  <si>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</si>
  <si>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</si>
  <si>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</si>
  <si>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</si>
  <si>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</si>
  <si>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</si>
  <si>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</si>
  <si>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</si>
  <si>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</si>
  <si>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</si>
  <si>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</si>
  <si>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</si>
  <si>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</si>
  <si>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</si>
  <si>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</si>
  <si>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</si>
  <si>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</si>
  <si>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</si>
  <si>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</si>
  <si>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</si>
  <si>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</si>
  <si>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</si>
  <si>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</si>
  <si>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</si>
  <si>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</si>
  <si>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</si>
  <si>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</si>
  <si>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</si>
  <si>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</si>
  <si>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</si>
  <si>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</si>
  <si>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</si>
  <si>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</si>
  <si>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</si>
  <si>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</si>
  <si>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</si>
  <si>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</si>
  <si>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</si>
  <si>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</si>
  <si>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</si>
  <si>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</si>
  <si>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</si>
  <si>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</si>
  <si>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</si>
  <si>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</si>
  <si>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</si>
  <si>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</si>
  <si>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</si>
  <si>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</si>
  <si>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</si>
  <si>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</si>
  <si>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</si>
  <si>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</si>
  <si>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</si>
  <si>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</si>
  <si>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</si>
  <si>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</si>
  <si>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</si>
  <si>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</si>
  <si>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</si>
  <si>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</si>
  <si>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</si>
  <si>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</si>
  <si>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</si>
  <si>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</si>
  <si>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</si>
  <si>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</si>
  <si>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</si>
  <si>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</si>
  <si>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</si>
  <si>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</si>
  <si>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</si>
  <si>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</si>
  <si>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</si>
  <si>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</si>
  <si>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</si>
  <si>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</si>
  <si>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</si>
  <si>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</si>
  <si>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</si>
  <si>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</si>
  <si>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</si>
  <si>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</si>
  <si>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</si>
  <si>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</si>
  <si>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</si>
  <si>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</si>
  <si>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</si>
  <si>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</si>
  <si>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</si>
  <si>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</si>
  <si>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</si>
  <si>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</si>
  <si>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</si>
  <si>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</si>
  <si>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</si>
  <si>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</si>
  <si>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</si>
  <si>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</si>
  <si>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</si>
  <si>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</si>
  <si>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</si>
  <si>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</si>
  <si>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</si>
  <si>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</si>
  <si>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</si>
  <si>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</si>
  <si>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</si>
  <si>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</si>
  <si>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</si>
  <si>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</si>
  <si>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</si>
  <si>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</si>
  <si>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</si>
  <si>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</si>
  <si>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</si>
  <si>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</si>
  <si>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</si>
  <si>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</si>
  <si>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</si>
  <si>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</si>
  <si>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</si>
  <si>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</si>
  <si>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</si>
  <si>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</si>
  <si>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</si>
  <si>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</si>
  <si>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</si>
  <si>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</si>
  <si>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</si>
  <si>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</si>
  <si>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</si>
  <si>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</si>
  <si>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</si>
  <si>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</si>
  <si>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</si>
  <si>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</si>
  <si>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</si>
  <si>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</si>
  <si>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</si>
  <si>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</si>
  <si>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</si>
  <si>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</si>
  <si>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</si>
  <si>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</si>
  <si>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</si>
  <si>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</si>
  <si>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</si>
  <si>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</si>
  <si>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</si>
  <si>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</si>
  <si>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</si>
  <si>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</si>
  <si>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</si>
  <si>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</si>
  <si>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</si>
  <si>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</si>
  <si>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</si>
  <si>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</si>
  <si>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</si>
  <si>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</si>
  <si>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</si>
  <si>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</si>
  <si>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</si>
  <si>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</si>
  <si>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</si>
  <si>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</si>
  <si>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</si>
  <si>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</si>
  <si>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</si>
  <si>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</si>
  <si>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</si>
  <si>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</si>
  <si>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</si>
  <si>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</si>
  <si>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</si>
  <si>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</si>
  <si>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</si>
  <si>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</si>
  <si>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</si>
  <si>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</si>
  <si>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</si>
  <si>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</si>
  <si>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</si>
  <si>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</si>
  <si>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</si>
  <si>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</si>
  <si>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</si>
  <si>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</si>
  <si>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</si>
  <si>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</si>
  <si>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</si>
  <si>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</si>
  <si>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</si>
  <si>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</si>
  <si>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</si>
  <si>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</si>
  <si>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</si>
  <si>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</si>
  <si>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</si>
  <si>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</si>
  <si>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</si>
  <si>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</si>
  <si>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</si>
  <si>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</si>
  <si>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</si>
  <si>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</si>
  <si>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</si>
  <si>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</si>
  <si>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</si>
  <si>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</si>
  <si>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</si>
  <si>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</si>
  <si>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</si>
  <si>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</si>
  <si>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</si>
  <si>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</si>
  <si>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</si>
  <si>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</si>
  <si>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</si>
  <si>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</si>
  <si>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</si>
  <si>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</si>
  <si>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</si>
  <si>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</si>
  <si>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</si>
  <si>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</si>
  <si>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</si>
  <si>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</si>
  <si>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</si>
  <si>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</si>
  <si>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</si>
  <si>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</si>
  <si>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</si>
  <si>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</si>
  <si>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</si>
  <si>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</si>
  <si>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</si>
  <si>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</si>
  <si>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</si>
  <si>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</si>
  <si>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</si>
  <si>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</si>
  <si>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</si>
  <si>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</si>
  <si>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</si>
  <si>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</si>
  <si>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</si>
  <si>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</si>
  <si>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</si>
  <si>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</si>
  <si>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</si>
  <si>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</si>
  <si>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</si>
  <si>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</si>
  <si>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</si>
  <si>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</si>
  <si>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</si>
  <si>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</si>
  <si>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</si>
  <si>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</si>
  <si>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</si>
  <si>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</si>
  <si>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</si>
  <si>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</si>
  <si>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</si>
  <si>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</si>
  <si>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</si>
  <si>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</si>
  <si>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</si>
  <si>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</si>
  <si>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</si>
  <si>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</si>
  <si>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</si>
  <si>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</si>
  <si>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</si>
  <si>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</si>
  <si>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</si>
  <si>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</si>
  <si>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</si>
  <si>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</si>
  <si>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</si>
  <si>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</si>
  <si>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</si>
  <si>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</si>
  <si>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</si>
  <si>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</si>
  <si>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</si>
  <si>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</si>
  <si>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</si>
  <si>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</si>
  <si>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</si>
  <si>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</si>
  <si>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</si>
  <si>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</si>
  <si>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</si>
  <si>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</si>
  <si>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</si>
  <si>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</si>
  <si>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</si>
  <si>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</si>
  <si>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</si>
  <si>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</si>
  <si>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</si>
  <si>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</si>
  <si>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</si>
  <si>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</si>
  <si>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</si>
  <si>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</si>
  <si>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</si>
  <si>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</si>
  <si>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</si>
  <si>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</si>
  <si>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</si>
  <si>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</si>
  <si>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</si>
  <si>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</si>
  <si>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</si>
  <si>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</si>
  <si>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</si>
  <si>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</si>
  <si>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</si>
  <si>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</si>
  <si>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</si>
  <si>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</si>
  <si>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</si>
  <si>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</si>
  <si>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</si>
  <si>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</si>
  <si>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</si>
  <si>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</si>
  <si>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</si>
  <si>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</si>
  <si>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</si>
  <si>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</si>
  <si>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</si>
  <si>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</si>
  <si>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</si>
  <si>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</si>
  <si>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</si>
  <si>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</si>
  <si>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</si>
  <si>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</si>
  <si>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</si>
  <si>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</si>
  <si>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</si>
  <si>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</si>
  <si>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</si>
  <si>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</si>
  <si>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</si>
  <si>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</si>
  <si>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</si>
  <si>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</si>
  <si>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</si>
  <si>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</si>
  <si>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</si>
  <si>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</si>
  <si>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</si>
  <si>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</si>
  <si>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</si>
  <si>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</si>
  <si>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</si>
  <si>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</si>
  <si>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</si>
  <si>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</si>
  <si>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</si>
  <si>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</si>
  <si>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</si>
  <si>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</si>
  <si>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</si>
  <si>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</si>
  <si>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</si>
  <si>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</si>
  <si>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</si>
  <si>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</si>
  <si>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</si>
  <si>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</si>
  <si>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</si>
  <si>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</si>
  <si>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</si>
  <si>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</si>
  <si>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</si>
  <si>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</si>
  <si>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</si>
  <si>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</si>
  <si>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</si>
  <si>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</si>
  <si>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</si>
  <si>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</si>
  <si>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</si>
  <si>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</si>
  <si>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</si>
  <si>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</si>
  <si>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</si>
  <si>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</si>
  <si>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</si>
  <si>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</si>
  <si>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</si>
  <si>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</si>
  <si>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</si>
  <si>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</si>
  <si>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</si>
  <si>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</si>
  <si>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</si>
  <si>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</si>
  <si>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</si>
  <si>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</si>
  <si>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</si>
  <si>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</si>
  <si>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</si>
  <si>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</si>
  <si>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</si>
  <si>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</si>
  <si>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</si>
  <si>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</si>
  <si>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</si>
  <si>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</si>
  <si>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</si>
  <si>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</si>
  <si>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</si>
  <si>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</si>
  <si>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</si>
  <si>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</si>
  <si>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</si>
  <si>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</si>
  <si>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</si>
  <si>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</si>
  <si>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</si>
  <si>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</si>
  <si>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</si>
  <si>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</si>
  <si>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</si>
  <si>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</si>
  <si>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</si>
  <si>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</si>
  <si>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</si>
  <si>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</si>
  <si>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</si>
  <si>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</si>
  <si>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</si>
  <si>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</si>
  <si>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</si>
  <si>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</si>
  <si>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</si>
  <si>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</si>
  <si>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</si>
  <si>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</si>
  <si>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</si>
  <si>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</si>
  <si>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</si>
  <si>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</si>
  <si>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</si>
  <si>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</si>
  <si>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</si>
  <si>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</si>
  <si>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</si>
  <si>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</si>
  <si>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</si>
  <si>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</si>
  <si>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</si>
  <si>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</si>
  <si>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</si>
  <si>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</si>
  <si>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</si>
  <si>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</si>
  <si>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</si>
  <si>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</si>
  <si>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</si>
  <si>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</si>
  <si>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</si>
  <si>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</si>
  <si>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</si>
  <si>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</si>
  <si>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</si>
  <si>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</si>
  <si>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</si>
  <si>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</si>
  <si>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</si>
  <si>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</si>
  <si>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</si>
  <si>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</si>
  <si>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</si>
  <si>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</si>
  <si>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</si>
  <si>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</si>
  <si>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</si>
  <si>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</si>
  <si>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</si>
  <si>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</si>
  <si>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</si>
  <si>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</si>
  <si>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</si>
  <si>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</si>
  <si>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</si>
  <si>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</si>
  <si>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</si>
  <si>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</si>
  <si>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</si>
  <si>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</si>
  <si>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</si>
  <si>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</si>
  <si>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</si>
  <si>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</si>
  <si>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</si>
  <si>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</si>
  <si>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</si>
  <si>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</si>
  <si>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</si>
  <si>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</si>
  <si>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</si>
  <si>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</si>
  <si>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</si>
  <si>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</si>
  <si>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</si>
  <si>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</si>
  <si>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</si>
  <si>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</si>
  <si>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</si>
  <si>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</si>
  <si>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</si>
  <si>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</si>
  <si>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</si>
  <si>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</si>
  <si>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</si>
  <si>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</si>
  <si>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</si>
  <si>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</si>
  <si>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</si>
  <si>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</si>
  <si>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</si>
  <si>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</si>
  <si>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</si>
  <si>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</si>
  <si>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</si>
  <si>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</si>
  <si>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</si>
  <si>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</si>
  <si>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</si>
  <si>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</si>
  <si>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</si>
  <si>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</si>
  <si>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</si>
  <si>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</si>
  <si>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</si>
  <si>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</si>
  <si>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</si>
  <si>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</si>
  <si>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</si>
  <si>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</si>
  <si>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</si>
  <si>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</si>
  <si>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</si>
  <si>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</si>
  <si>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</si>
  <si>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</si>
  <si>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</si>
  <si>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</si>
  <si>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</si>
  <si>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</si>
  <si>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</si>
  <si>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</si>
  <si>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</si>
  <si>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</si>
  <si>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</si>
  <si>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</si>
  <si>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</si>
  <si>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</si>
  <si>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</si>
  <si>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</si>
  <si>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</si>
  <si>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</si>
  <si>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</si>
  <si>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</si>
  <si>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</si>
  <si>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</si>
  <si>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</si>
  <si>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</si>
  <si>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</si>
  <si>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</si>
  <si>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</si>
  <si>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</si>
  <si>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</si>
  <si>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</si>
  <si>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</si>
  <si>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</si>
  <si>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</si>
  <si>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</si>
  <si>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</si>
  <si>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</si>
  <si>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</si>
  <si>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</si>
  <si>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</si>
  <si>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</si>
  <si>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</si>
  <si>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</si>
  <si>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</si>
  <si>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</si>
  <si>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</si>
  <si>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</si>
  <si>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</si>
  <si>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</si>
  <si>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</si>
  <si>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</si>
  <si>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</si>
  <si>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</si>
  <si>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</si>
  <si>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</si>
  <si>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</si>
  <si>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</si>
  <si>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</si>
  <si>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</si>
  <si>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</si>
  <si>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</si>
  <si>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</si>
  <si>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</si>
  <si>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</si>
  <si>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</si>
  <si>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</si>
  <si>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</si>
  <si>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</si>
  <si>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</si>
  <si>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</si>
  <si>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</si>
  <si>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</si>
  <si>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</si>
  <si>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</si>
  <si>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</si>
  <si>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</si>
  <si>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</si>
  <si>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</si>
  <si>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</si>
  <si>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</si>
  <si>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</si>
  <si>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</si>
  <si>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</si>
  <si>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</si>
  <si>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</si>
  <si>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</si>
  <si>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</si>
  <si>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</si>
  <si>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</si>
  <si>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</si>
  <si>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</si>
  <si>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</si>
  <si>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</si>
  <si>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</si>
  <si>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</si>
  <si>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</si>
  <si>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</si>
  <si>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</si>
  <si>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</si>
  <si>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</si>
  <si>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</si>
  <si>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</si>
  <si>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</si>
  <si>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</si>
  <si>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</si>
  <si>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</si>
  <si>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</si>
  <si>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</si>
  <si>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</si>
  <si>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</si>
  <si>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</si>
  <si>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</si>
  <si>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</si>
  <si>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</si>
  <si>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</si>
  <si>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</si>
  <si>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</si>
  <si>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</si>
  <si>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</si>
  <si>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</si>
  <si>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</si>
  <si>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</si>
  <si>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</si>
  <si>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</si>
  <si>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</si>
  <si>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</si>
  <si>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</si>
  <si>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</si>
  <si>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</si>
  <si>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</si>
  <si>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</si>
  <si>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</si>
  <si>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</si>
  <si>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</si>
  <si>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</si>
  <si>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</si>
  <si>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</si>
  <si>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</si>
  <si>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</si>
  <si>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</si>
  <si>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</si>
  <si>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</si>
  <si>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</si>
  <si>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</si>
  <si>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</si>
  <si>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</si>
  <si>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</si>
  <si>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</si>
  <si>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</si>
  <si>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</si>
  <si>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</si>
  <si>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</si>
  <si>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</si>
  <si>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</si>
  <si>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</si>
  <si>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</si>
  <si>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</si>
  <si>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</si>
  <si>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</si>
  <si>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</si>
  <si>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</si>
  <si>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</si>
  <si>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</si>
  <si>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</si>
  <si>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</si>
  <si>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</si>
  <si>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</si>
  <si>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</si>
  <si>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</si>
  <si>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</si>
  <si>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</si>
  <si>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</si>
  <si>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</si>
  <si>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</si>
  <si>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</si>
  <si>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</si>
  <si>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</si>
  <si>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</si>
  <si>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</si>
  <si>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</si>
  <si>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</si>
  <si>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</si>
  <si>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</si>
  <si>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</si>
  <si>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</si>
  <si>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</si>
  <si>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</si>
  <si>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</si>
  <si>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</si>
  <si>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</si>
  <si>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</si>
  <si>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</si>
  <si>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</si>
  <si>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</si>
  <si>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</si>
  <si>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</si>
  <si>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</si>
  <si>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</si>
  <si>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</si>
  <si>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</si>
  <si>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</si>
  <si>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</si>
  <si>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</si>
  <si>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</si>
  <si>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</si>
  <si>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</si>
  <si>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</si>
  <si>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</si>
  <si>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</si>
  <si>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</si>
  <si>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</si>
  <si>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</si>
  <si>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</si>
  <si>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</si>
  <si>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</si>
  <si>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</si>
  <si>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</si>
  <si>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</si>
  <si>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</si>
  <si>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</si>
  <si>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</si>
  <si>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</si>
  <si>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</si>
  <si>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</si>
  <si>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</si>
  <si>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</si>
  <si>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</si>
  <si>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</si>
  <si>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</si>
  <si>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</si>
  <si>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</si>
  <si>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</si>
  <si>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</si>
  <si>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</si>
  <si>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</si>
  <si>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</si>
  <si>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</si>
  <si>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</si>
  <si>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</si>
  <si>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</si>
  <si>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</si>
  <si>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</si>
  <si>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</si>
  <si>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</si>
  <si>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</si>
  <si>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</si>
  <si>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</si>
  <si>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</si>
  <si>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</si>
  <si>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</si>
  <si>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</si>
  <si>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</si>
  <si>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</si>
  <si>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</si>
  <si>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</si>
  <si>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</si>
  <si>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</si>
  <si>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</si>
  <si>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</si>
  <si>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</si>
  <si>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</si>
  <si>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</si>
  <si>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</si>
  <si>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</si>
  <si>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</si>
  <si>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</si>
  <si>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</si>
  <si>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</si>
  <si>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</si>
  <si>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</si>
  <si>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</si>
  <si>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</si>
  <si>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</si>
  <si>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</si>
  <si>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</si>
  <si>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</si>
  <si>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</si>
  <si>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</si>
  <si>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</si>
  <si>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</si>
  <si>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</si>
  <si>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</si>
  <si>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</si>
  <si>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</si>
  <si>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</si>
  <si>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</si>
  <si>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</si>
  <si>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</si>
  <si>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</si>
  <si>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</si>
  <si>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</si>
  <si>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</si>
  <si>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</si>
  <si>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</si>
  <si>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</si>
  <si>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</si>
  <si>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</si>
  <si>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</si>
  <si>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</si>
  <si>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</si>
  <si>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</si>
  <si>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</si>
  <si>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</si>
  <si>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</si>
  <si>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</si>
  <si>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</si>
  <si>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</si>
  <si>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</si>
  <si>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</si>
  <si>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</si>
  <si>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</si>
  <si>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</si>
  <si>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</si>
  <si>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</si>
  <si>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</si>
  <si>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</si>
  <si>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</si>
  <si>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</si>
  <si>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</si>
  <si>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</si>
  <si>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</si>
  <si>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</si>
  <si>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</si>
  <si>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</si>
  <si>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</si>
  <si>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</si>
  <si>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</si>
  <si>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</si>
  <si>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</si>
  <si>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</si>
  <si>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</si>
  <si>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</si>
  <si>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</si>
  <si>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</si>
  <si>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</si>
  <si>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</si>
  <si>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</si>
  <si>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</si>
  <si>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</si>
  <si>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</si>
  <si>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</si>
  <si>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</si>
  <si>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</si>
  <si>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</si>
  <si>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</si>
  <si>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</si>
  <si>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</si>
  <si>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</si>
  <si>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</si>
  <si>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</si>
  <si>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</si>
  <si>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</si>
  <si>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</si>
  <si>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</si>
  <si>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</si>
  <si>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</si>
  <si>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</si>
  <si>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</si>
  <si>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</si>
  <si>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</si>
  <si>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</si>
  <si>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</si>
  <si>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</si>
  <si>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</si>
  <si>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</si>
  <si>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</si>
  <si>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</si>
  <si>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</si>
  <si>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</si>
  <si>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</si>
  <si>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</si>
  <si>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</si>
  <si>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</si>
  <si>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</si>
  <si>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</si>
  <si>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</si>
  <si>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</si>
  <si>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</si>
  <si>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</si>
  <si>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</si>
  <si>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</si>
  <si>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</si>
  <si>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</si>
  <si>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</si>
  <si>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</si>
  <si>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</si>
  <si>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</si>
  <si>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</si>
  <si>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</si>
  <si>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</si>
  <si>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</si>
  <si>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</si>
  <si>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</si>
  <si>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</si>
  <si>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</si>
  <si>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</si>
  <si>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</si>
  <si>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</si>
  <si>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</si>
  <si>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</si>
  <si>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</si>
  <si>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</si>
  <si>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</si>
  <si>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</si>
  <si>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</si>
  <si>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</si>
  <si>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</si>
  <si>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</si>
  <si>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</si>
  <si>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</si>
  <si>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</si>
  <si>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</si>
  <si>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</si>
  <si>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</si>
  <si>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</si>
  <si>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</si>
  <si>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</si>
  <si>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</si>
  <si>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</si>
  <si>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</si>
  <si>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</si>
  <si>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</si>
  <si>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</si>
  <si>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</si>
  <si>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</si>
  <si>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</si>
  <si>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</si>
  <si>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</si>
  <si>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</si>
  <si>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</si>
  <si>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</si>
  <si>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</si>
  <si>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</si>
  <si>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</si>
  <si>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</si>
  <si>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</si>
  <si>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</si>
  <si>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</si>
  <si>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</si>
  <si>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</si>
  <si>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</si>
  <si>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</si>
  <si>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</si>
  <si>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</si>
  <si>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</si>
  <si>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</si>
  <si>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</si>
  <si>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</si>
  <si>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</si>
  <si>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</si>
  <si>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</si>
  <si>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</si>
  <si>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</si>
  <si>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</si>
  <si>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</si>
  <si>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</si>
  <si>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</si>
  <si>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</si>
  <si>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</si>
  <si>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</si>
  <si>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</si>
  <si>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</si>
  <si>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</si>
  <si>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</si>
  <si>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</si>
  <si>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</si>
  <si>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</si>
  <si>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</si>
  <si>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</si>
  <si>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</si>
  <si>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</si>
  <si>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</si>
  <si>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</si>
  <si>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</si>
  <si>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</si>
  <si>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</si>
  <si>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</si>
  <si>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</si>
  <si>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</si>
  <si>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</si>
  <si>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</si>
  <si>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</si>
  <si>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</si>
  <si>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</si>
  <si>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</si>
  <si>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</si>
  <si>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</si>
  <si>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</si>
  <si>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</si>
  <si>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</si>
  <si>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</si>
  <si>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</si>
  <si>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</si>
  <si>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</si>
  <si>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</si>
  <si>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</si>
  <si>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</si>
  <si>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</si>
  <si>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</si>
  <si>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</si>
  <si>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</si>
  <si>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</si>
  <si>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</si>
  <si>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</si>
  <si>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</si>
  <si>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</si>
  <si>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</si>
  <si>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</si>
  <si>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</si>
  <si>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</si>
  <si>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</si>
  <si>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</si>
  <si>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</si>
  <si>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</si>
  <si>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</si>
  <si>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</si>
  <si>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</si>
  <si>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</si>
  <si>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</si>
  <si>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</si>
  <si>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</si>
  <si>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</si>
  <si>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</si>
  <si>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</si>
  <si>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</si>
  <si>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</si>
  <si>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</si>
  <si>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</si>
  <si>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</si>
  <si>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</si>
  <si>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</si>
  <si>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</si>
  <si>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</si>
  <si>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</si>
  <si>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</si>
  <si>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</si>
  <si>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</si>
  <si>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</si>
  <si>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</si>
  <si>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</si>
  <si>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</si>
  <si>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</si>
  <si>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</si>
  <si>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</si>
  <si>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</si>
  <si>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</si>
  <si>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</si>
  <si>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</si>
  <si>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</si>
  <si>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</si>
  <si>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</si>
  <si>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</si>
  <si>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</si>
  <si>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</si>
  <si>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</si>
  <si>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</si>
  <si>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</si>
  <si>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</si>
  <si>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</si>
  <si>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</si>
  <si>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</si>
  <si>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</si>
  <si>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</si>
  <si>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</si>
  <si>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</si>
  <si>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</si>
  <si>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</si>
  <si>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</si>
  <si>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</si>
  <si>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</si>
  <si>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</si>
  <si>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</si>
  <si>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</si>
  <si>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</si>
  <si>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</si>
  <si>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</si>
  <si>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</si>
  <si>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</si>
  <si>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</si>
  <si>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</si>
  <si>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</si>
  <si>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</si>
  <si>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</si>
  <si>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</si>
  <si>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</si>
  <si>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</si>
  <si>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</si>
  <si>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</si>
  <si>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</si>
  <si>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</si>
  <si>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</si>
  <si>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</si>
  <si>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</si>
  <si>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</si>
  <si>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</si>
  <si>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</si>
  <si>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</si>
  <si>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</si>
  <si>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</si>
  <si>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</si>
  <si>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</si>
  <si>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</si>
  <si>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</si>
  <si>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</si>
  <si>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</si>
  <si>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</si>
  <si>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</si>
  <si>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</si>
  <si>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</si>
  <si>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</si>
  <si>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</si>
  <si>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</si>
  <si>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</si>
  <si>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</si>
  <si>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</si>
  <si>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</si>
  <si>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</si>
  <si>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</si>
  <si>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</si>
  <si>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</si>
  <si>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</si>
  <si>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</si>
  <si>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</si>
  <si>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</si>
  <si>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</si>
  <si>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</si>
  <si>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</si>
  <si>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</si>
  <si>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</si>
  <si>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</si>
  <si>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</si>
  <si>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</si>
  <si>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</si>
  <si>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</si>
  <si>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</si>
  <si>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</si>
  <si>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</si>
  <si>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</si>
  <si>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</si>
  <si>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</si>
  <si>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</si>
  <si>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</si>
  <si>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</si>
  <si>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</si>
  <si>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</si>
  <si>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</si>
  <si>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</si>
  <si>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</si>
  <si>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</si>
  <si>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</si>
  <si>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</si>
  <si>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</si>
  <si>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</si>
  <si>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</si>
  <si>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</si>
  <si>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</si>
  <si>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</si>
  <si>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</si>
  <si>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</si>
  <si>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</si>
  <si>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</si>
  <si>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</si>
  <si>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</si>
  <si>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</si>
  <si>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</si>
  <si>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</si>
  <si>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</si>
  <si>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</si>
  <si>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</si>
  <si>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</si>
  <si>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</si>
  <si>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</si>
  <si>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</si>
  <si>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</si>
  <si>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</si>
  <si>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</si>
  <si>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</si>
  <si>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</si>
  <si>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</si>
  <si>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</si>
  <si>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</si>
  <si>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</si>
  <si>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</si>
  <si>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</si>
  <si>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</si>
  <si>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</si>
  <si>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</si>
  <si>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</si>
  <si>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</si>
  <si>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</si>
  <si>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</si>
  <si>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</si>
  <si>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</si>
  <si>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</si>
  <si>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</si>
  <si>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</si>
  <si>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</si>
  <si>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</si>
  <si>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</si>
  <si>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</si>
  <si>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</si>
  <si>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</si>
  <si>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</si>
  <si>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</si>
  <si>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</si>
  <si>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</si>
  <si>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</si>
  <si>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</si>
  <si>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</si>
  <si>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</si>
  <si>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</si>
  <si>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</si>
  <si>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</si>
  <si>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</si>
  <si>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</si>
  <si>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</si>
  <si>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</si>
  <si>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</si>
  <si>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</si>
  <si>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</si>
  <si>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</si>
  <si>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</si>
  <si>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</si>
  <si>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</si>
  <si>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</si>
  <si>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</si>
  <si>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</si>
  <si>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</si>
  <si>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</si>
  <si>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</si>
  <si>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</si>
  <si>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</si>
  <si>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</si>
  <si>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</si>
  <si>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</si>
  <si>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</si>
  <si>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</si>
  <si>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</si>
  <si>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</si>
  <si>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</si>
  <si>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</si>
  <si>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</si>
  <si>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</si>
  <si>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</si>
  <si>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</si>
  <si>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</si>
  <si>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</si>
  <si>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</si>
  <si>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</si>
  <si>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</si>
  <si>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</si>
  <si>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</si>
  <si>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</si>
  <si>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</si>
  <si>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</si>
  <si>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</si>
  <si>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</si>
  <si>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</si>
  <si>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</si>
  <si>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</si>
  <si>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</si>
  <si>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</si>
  <si>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</si>
  <si>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</si>
  <si>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</si>
  <si>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</si>
  <si>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</si>
  <si>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</si>
  <si>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</si>
  <si>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</si>
  <si>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</si>
  <si>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</si>
  <si>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</si>
  <si>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</si>
  <si>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</si>
  <si>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</si>
  <si>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</si>
  <si>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</si>
  <si>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</si>
  <si>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</si>
  <si>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</si>
  <si>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</si>
  <si>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</si>
  <si>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</si>
  <si>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</si>
  <si>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</si>
  <si>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</si>
  <si>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</si>
  <si>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</si>
  <si>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</si>
  <si>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</si>
  <si>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</si>
  <si>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</si>
  <si>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</si>
  <si>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</si>
  <si>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</si>
  <si>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</si>
  <si>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</si>
  <si>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</si>
  <si>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</si>
  <si>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</si>
  <si>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</si>
  <si>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</si>
  <si>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</si>
  <si>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</si>
  <si>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</si>
  <si>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</si>
  <si>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</si>
  <si>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</si>
  <si>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</si>
  <si>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</si>
  <si>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</si>
  <si>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</si>
  <si>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</si>
  <si>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</si>
  <si>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</si>
  <si>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</si>
  <si>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</si>
  <si>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</si>
  <si>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</si>
  <si>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</si>
  <si>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</si>
  <si>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</si>
  <si>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</si>
  <si>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</si>
  <si>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</si>
  <si>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</si>
  <si>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</si>
  <si>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</si>
  <si>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</si>
  <si>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</si>
  <si>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</si>
  <si>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</si>
  <si>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</si>
  <si>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</si>
  <si>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</si>
  <si>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</si>
  <si>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</si>
  <si>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</si>
  <si>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</si>
  <si>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</si>
  <si>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</si>
  <si>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</si>
  <si>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</si>
  <si>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</si>
  <si>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</si>
  <si>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</si>
  <si>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</si>
  <si>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</si>
  <si>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</si>
  <si>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</si>
  <si>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</si>
  <si>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</si>
  <si>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</si>
  <si>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</si>
  <si>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</si>
  <si>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</si>
  <si>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</si>
  <si>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</si>
  <si>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</si>
  <si>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</si>
  <si>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</si>
  <si>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</si>
  <si>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</si>
  <si>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</si>
  <si>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</si>
  <si>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</si>
  <si>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</si>
  <si>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</si>
  <si>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</si>
  <si>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</si>
  <si>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</si>
  <si>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</si>
  <si>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</si>
  <si>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</si>
  <si>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</si>
  <si>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</si>
  <si>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</si>
  <si>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</si>
  <si>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</si>
  <si>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</si>
  <si>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</si>
  <si>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</si>
  <si>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</si>
  <si>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</si>
  <si>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</si>
  <si>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</si>
  <si>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</si>
  <si>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</si>
  <si>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</si>
  <si>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</si>
  <si>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</si>
  <si>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</si>
  <si>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</si>
  <si>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</si>
  <si>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</si>
  <si>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</si>
  <si>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</si>
  <si>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</si>
  <si>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</si>
  <si>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</si>
  <si>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</si>
  <si>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</si>
  <si>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</si>
  <si>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</si>
  <si>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</si>
  <si>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</si>
  <si>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</si>
  <si>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</si>
  <si>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</si>
  <si>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</si>
  <si>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</si>
  <si>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</si>
  <si>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</si>
  <si>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</si>
  <si>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</si>
  <si>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</si>
  <si>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</si>
  <si>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</si>
  <si>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</si>
  <si>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</si>
  <si>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</si>
  <si>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</si>
  <si>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</si>
  <si>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</si>
  <si>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</si>
  <si>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</si>
  <si>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</si>
  <si>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</si>
  <si>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</si>
  <si>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</si>
  <si>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</si>
  <si>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</si>
  <si>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</si>
  <si>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</si>
  <si>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</si>
  <si>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</si>
  <si>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</si>
  <si>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</si>
  <si>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</si>
  <si>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</si>
  <si>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</si>
  <si>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</si>
  <si>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</si>
  <si>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</si>
  <si>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</si>
  <si>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</si>
  <si>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</si>
  <si>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</si>
  <si>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</si>
  <si>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</si>
  <si>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</si>
  <si>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</si>
  <si>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</si>
  <si>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</si>
  <si>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</si>
  <si>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</si>
  <si>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</si>
  <si>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</si>
  <si>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</si>
  <si>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</si>
  <si>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</si>
  <si>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</si>
  <si>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</si>
  <si>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</si>
  <si>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</si>
  <si>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</si>
  <si>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</si>
  <si>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</si>
  <si>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</si>
  <si>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</si>
  <si>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</si>
  <si>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</si>
  <si>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</si>
  <si>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</si>
  <si>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</si>
  <si>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</si>
  <si>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</si>
  <si>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</si>
  <si>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</si>
  <si>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</si>
  <si>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</si>
  <si>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</si>
  <si>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</si>
  <si>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</si>
  <si>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</si>
  <si>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</si>
  <si>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</si>
  <si>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</si>
  <si>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</si>
  <si>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</si>
  <si>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</si>
  <si>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</si>
  <si>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</si>
  <si>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</si>
  <si>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</si>
  <si>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</si>
  <si>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</si>
  <si>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</si>
  <si>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</si>
  <si>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</si>
  <si>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</si>
  <si>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</si>
  <si>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</si>
  <si>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</si>
  <si>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</si>
  <si>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</si>
  <si>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</si>
  <si>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</si>
  <si>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</si>
  <si>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</si>
  <si>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</si>
  <si>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</si>
  <si>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</si>
  <si>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</si>
  <si>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</si>
  <si>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</si>
  <si>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</si>
  <si>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</si>
  <si>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</si>
  <si>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</si>
  <si>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</si>
  <si>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</si>
  <si>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</si>
  <si>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</si>
  <si>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</si>
  <si>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</si>
  <si>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</si>
  <si>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</si>
  <si>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</si>
  <si>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</si>
  <si>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</si>
  <si>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</si>
  <si>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</si>
  <si>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</si>
  <si>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</si>
  <si>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</si>
  <si>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</si>
  <si>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</si>
  <si>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</si>
  <si>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</si>
  <si>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</si>
  <si>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</si>
  <si>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</si>
  <si>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</si>
  <si>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</si>
  <si>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</si>
  <si>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</si>
  <si>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</si>
  <si>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</si>
  <si>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</si>
  <si>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</si>
  <si>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</si>
  <si>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</si>
  <si>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</si>
  <si>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</si>
  <si>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</si>
  <si>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</si>
  <si>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</si>
  <si>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</si>
  <si>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</si>
  <si>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</si>
  <si>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</si>
  <si>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</si>
  <si>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</si>
  <si>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</si>
  <si>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</si>
  <si>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</si>
  <si>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</si>
  <si>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</si>
  <si>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</si>
  <si>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</si>
  <si>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</si>
  <si>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</si>
  <si>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</si>
  <si>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</si>
  <si>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</si>
  <si>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</si>
  <si>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</si>
  <si>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</si>
  <si>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</si>
  <si>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</si>
  <si>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</si>
  <si>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</si>
  <si>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</si>
  <si>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</si>
  <si>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</si>
  <si>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</si>
  <si>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</si>
  <si>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</si>
  <si>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</si>
  <si>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</si>
  <si>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</si>
  <si>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</si>
  <si>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</si>
  <si>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</si>
  <si>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</si>
  <si>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</si>
  <si>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</si>
  <si>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</si>
  <si>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</si>
  <si>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</si>
  <si>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</si>
  <si>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</si>
  <si>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</si>
  <si>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</si>
  <si>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</si>
  <si>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</si>
  <si>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</si>
  <si>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</si>
  <si>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</si>
  <si>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</si>
  <si>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</si>
  <si>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</si>
  <si>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</si>
  <si>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</si>
  <si>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</si>
  <si>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</si>
  <si>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</si>
  <si>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</si>
  <si>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</si>
  <si>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</si>
  <si>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</si>
  <si>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</si>
  <si>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</si>
  <si>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</si>
  <si>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</si>
  <si>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</si>
  <si>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</si>
  <si>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</si>
  <si>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</si>
  <si>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</si>
  <si>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</si>
  <si>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</si>
  <si>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</si>
  <si>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</si>
  <si>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</si>
  <si>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</si>
  <si>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</si>
  <si>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</si>
  <si>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</si>
  <si>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</si>
  <si>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</si>
  <si>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</si>
  <si>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</si>
  <si>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</si>
  <si>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</si>
  <si>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</si>
  <si>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</si>
  <si>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</si>
  <si>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</si>
  <si>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</si>
  <si>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</si>
  <si>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</si>
  <si>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</si>
  <si>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</si>
  <si>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</si>
  <si>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</si>
  <si>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</si>
  <si>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</si>
  <si>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</si>
  <si>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</si>
  <si>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</si>
  <si>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</si>
  <si>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</si>
  <si>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</si>
  <si>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</si>
  <si>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</si>
  <si>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</si>
  <si>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</si>
  <si>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</si>
  <si>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</si>
  <si>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</si>
  <si>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</si>
  <si>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</si>
  <si>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</si>
  <si>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</si>
  <si>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</si>
  <si>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</si>
  <si>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</si>
  <si>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</si>
  <si>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</si>
  <si>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</si>
  <si>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</si>
  <si>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</si>
  <si>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</si>
  <si>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</si>
  <si>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</si>
  <si>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</si>
  <si>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</si>
  <si>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</si>
  <si>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</si>
  <si>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</si>
  <si>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</si>
  <si>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</si>
  <si>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</si>
  <si>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</si>
  <si>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</si>
  <si>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</si>
  <si>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</si>
  <si>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</si>
  <si>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</si>
  <si>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</si>
  <si>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</si>
  <si>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</si>
  <si>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</si>
  <si>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</si>
  <si>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</si>
  <si>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</si>
  <si>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</si>
  <si>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</si>
  <si>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</si>
  <si>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</si>
  <si>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</si>
  <si>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</si>
  <si>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</si>
  <si>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</si>
  <si>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</si>
  <si>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</si>
  <si>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</si>
  <si>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</si>
  <si>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</si>
  <si>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</si>
  <si>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</si>
  <si>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</si>
  <si>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</si>
  <si>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</si>
  <si>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</si>
  <si>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</si>
  <si>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</si>
  <si>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</si>
  <si>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</si>
  <si>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</si>
  <si>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</si>
  <si>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</si>
  <si>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</si>
  <si>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</si>
  <si>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</si>
  <si>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</si>
  <si>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</si>
  <si>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</si>
  <si>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</si>
  <si>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</si>
  <si>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</si>
  <si>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</si>
  <si>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</si>
  <si>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</si>
  <si>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</si>
  <si>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</si>
  <si>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</si>
  <si>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</si>
  <si>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</si>
  <si>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</si>
  <si>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</si>
  <si>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</si>
  <si>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</si>
  <si>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</si>
  <si>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</si>
  <si>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</si>
  <si>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</si>
  <si>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</si>
  <si>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</si>
  <si>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</si>
  <si>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</si>
  <si>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</si>
  <si>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</si>
  <si>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</si>
  <si>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</si>
  <si>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</si>
  <si>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</si>
  <si>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</si>
  <si>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</si>
  <si>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</si>
  <si>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</si>
  <si>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</si>
  <si>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</si>
  <si>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</si>
  <si>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</si>
  <si>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</si>
  <si>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</si>
  <si>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</si>
  <si>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</si>
  <si>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</si>
  <si>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</si>
  <si>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</si>
  <si>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</si>
  <si>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</si>
  <si>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</si>
  <si>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</si>
  <si>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</si>
  <si>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</si>
  <si>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</si>
  <si>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</si>
  <si>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</si>
  <si>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</si>
  <si>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</si>
  <si>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</si>
  <si>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</si>
  <si>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</si>
  <si>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</si>
  <si>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</si>
  <si>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</si>
  <si>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</si>
  <si>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</si>
  <si>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</si>
  <si>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</si>
  <si>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</si>
  <si>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</si>
  <si>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</si>
  <si>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</si>
  <si>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</si>
  <si>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</si>
  <si>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</si>
  <si>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</si>
  <si>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</si>
  <si>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</si>
  <si>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</si>
  <si>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</si>
  <si>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</si>
  <si>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</si>
  <si>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</si>
  <si>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</si>
  <si>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</si>
  <si>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</si>
  <si>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</si>
  <si>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</si>
  <si>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</si>
  <si>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</si>
  <si>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</si>
  <si>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</si>
  <si>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</si>
  <si>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</si>
  <si>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</si>
  <si>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</si>
  <si>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</si>
  <si>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</si>
  <si>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</si>
  <si>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</si>
  <si>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</si>
  <si>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</si>
  <si>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</si>
  <si>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</si>
  <si>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</si>
  <si>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</si>
  <si>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</si>
  <si>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</si>
  <si>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</si>
  <si>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</si>
  <si>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</si>
  <si>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</si>
  <si>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</si>
  <si>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</si>
  <si>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</si>
  <si>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</si>
  <si>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</si>
  <si>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</si>
  <si>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</si>
  <si>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</si>
  <si>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</si>
  <si>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</si>
  <si>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</si>
  <si>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</si>
  <si>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</si>
  <si>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</si>
  <si>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</si>
  <si>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</si>
  <si>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</si>
  <si>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</si>
  <si>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</si>
  <si>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</si>
  <si>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</si>
  <si>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</si>
  <si>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</si>
  <si>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</si>
  <si>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</si>
  <si>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</si>
  <si>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</si>
  <si>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</si>
  <si>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</si>
  <si>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</si>
  <si>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</si>
  <si>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</si>
  <si>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</si>
  <si>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</si>
  <si>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</si>
  <si>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</si>
  <si>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</si>
  <si>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</si>
  <si>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</si>
  <si>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</si>
  <si>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</si>
  <si>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</si>
  <si>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</si>
  <si>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</si>
  <si>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</si>
  <si>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</si>
  <si>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</si>
  <si>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</si>
  <si>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</si>
  <si>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</si>
  <si>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</si>
  <si>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</si>
  <si>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</si>
  <si>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</si>
  <si>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</si>
  <si>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</si>
  <si>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</si>
  <si>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</si>
  <si>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</si>
  <si>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</si>
  <si>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</si>
  <si>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</si>
  <si>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</si>
  <si>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</si>
  <si>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</si>
  <si>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</si>
  <si>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</si>
  <si>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</si>
  <si>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</si>
  <si>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</si>
  <si>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</si>
  <si>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</si>
  <si>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</si>
  <si>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</si>
  <si>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</si>
  <si>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</si>
  <si>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</si>
  <si>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</si>
  <si>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</si>
  <si>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</si>
  <si>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</si>
  <si>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</si>
  <si>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</si>
  <si>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</si>
  <si>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</si>
  <si>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</si>
  <si>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</si>
  <si>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</si>
  <si>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</si>
  <si>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</si>
  <si>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</si>
  <si>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</si>
  <si>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</si>
  <si>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</si>
  <si>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</si>
  <si>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</si>
  <si>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</si>
  <si>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</si>
  <si>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</si>
  <si>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</si>
  <si>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</si>
  <si>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</si>
  <si>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</si>
  <si>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</si>
  <si>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</si>
  <si>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</si>
  <si>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</si>
  <si>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</si>
  <si>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</si>
  <si>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</si>
  <si>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</si>
  <si>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</si>
  <si>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</si>
  <si>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</si>
  <si>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</si>
  <si>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</si>
  <si>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</si>
  <si>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</si>
  <si>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</si>
  <si>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</si>
  <si>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</si>
  <si>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</si>
  <si>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</si>
  <si>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</si>
  <si>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</si>
  <si>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</si>
  <si>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</si>
  <si>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</si>
  <si>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</si>
  <si>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</si>
  <si>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</si>
  <si>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</si>
  <si>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</si>
  <si>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</si>
  <si>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</si>
  <si>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</si>
  <si>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</si>
  <si>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</si>
  <si>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</si>
  <si>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</si>
  <si>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</si>
  <si>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</si>
  <si>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</si>
  <si>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</si>
  <si>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</si>
  <si>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</si>
  <si>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</si>
  <si>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</si>
  <si>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</si>
  <si>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</si>
  <si>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</si>
  <si>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</si>
  <si>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</si>
  <si>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</si>
  <si>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</si>
  <si>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</si>
  <si>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</si>
  <si>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</si>
  <si>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</si>
  <si>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</si>
  <si>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</si>
  <si>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</si>
  <si>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</si>
  <si>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</si>
  <si>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</si>
  <si>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</si>
  <si>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</si>
  <si>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</si>
  <si>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</si>
  <si>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</si>
  <si>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</si>
  <si>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</si>
  <si>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</si>
  <si>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</si>
  <si>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</si>
  <si>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</si>
  <si>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</si>
  <si>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</si>
  <si>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</si>
  <si>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</si>
  <si>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</si>
  <si>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</si>
  <si>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</si>
  <si>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</si>
  <si>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</si>
  <si>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</si>
  <si>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</si>
  <si>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</si>
  <si>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</si>
  <si>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</si>
  <si>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</si>
  <si>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</si>
  <si>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</si>
  <si>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</si>
  <si>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</si>
  <si>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</si>
  <si>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</si>
  <si>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</si>
  <si>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</si>
  <si>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</si>
  <si>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</si>
  <si>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</si>
  <si>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</si>
  <si>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</si>
  <si>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</si>
  <si>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</si>
  <si>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</si>
  <si>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</si>
  <si>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</si>
  <si>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</si>
  <si>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</si>
  <si>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</si>
  <si>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</si>
  <si>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</si>
  <si>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</si>
  <si>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</si>
  <si>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</si>
  <si>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</si>
  <si>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</si>
  <si>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</si>
  <si>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</si>
  <si>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</si>
  <si>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</si>
  <si>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</si>
  <si>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</si>
  <si>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</si>
  <si>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</si>
  <si>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</si>
  <si>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</si>
  <si>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</si>
  <si>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</si>
  <si>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</si>
  <si>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</si>
  <si>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</si>
  <si>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</si>
  <si>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</si>
  <si>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</si>
  <si>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</si>
  <si>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</si>
  <si>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</si>
  <si>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</si>
  <si>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</si>
  <si>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</si>
  <si>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</si>
  <si>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</si>
  <si>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</si>
  <si>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</si>
  <si>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</si>
  <si>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</si>
  <si>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</si>
  <si>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</si>
  <si>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</si>
  <si>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</si>
  <si>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</si>
  <si>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</si>
  <si>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</si>
  <si>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</si>
  <si>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</si>
  <si>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</si>
  <si>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</si>
  <si>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</si>
  <si>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</si>
  <si>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</si>
  <si>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</si>
  <si>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</si>
  <si>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</si>
  <si>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</si>
  <si>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</si>
  <si>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</si>
  <si>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</si>
  <si>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</si>
  <si>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</si>
  <si>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</si>
  <si>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</si>
  <si>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</si>
  <si>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</si>
  <si>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</si>
  <si>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</si>
  <si>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</si>
  <si>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</si>
  <si>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</si>
  <si>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</si>
  <si>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</si>
  <si>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</si>
  <si>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</si>
  <si>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</si>
  <si>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</si>
  <si>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</si>
  <si>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</si>
  <si>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</si>
  <si>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</si>
  <si>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</si>
  <si>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</si>
  <si>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</si>
  <si>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</si>
  <si>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</si>
  <si>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</si>
  <si>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</si>
  <si>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</si>
  <si>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</si>
  <si>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</si>
  <si>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</si>
  <si>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</si>
  <si>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</si>
  <si>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</si>
  <si>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</si>
  <si>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</si>
  <si>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</si>
  <si>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</si>
  <si>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</si>
  <si>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</si>
  <si>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</si>
  <si>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</si>
  <si>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</si>
  <si>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</si>
  <si>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</si>
  <si>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</si>
  <si>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</si>
  <si>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</si>
  <si>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</si>
  <si>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</si>
  <si>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</si>
  <si>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</si>
  <si>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</si>
  <si>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</si>
  <si>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</si>
  <si>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</si>
  <si>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</si>
  <si>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</si>
  <si>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</si>
  <si>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</si>
  <si>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</si>
  <si>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</si>
  <si>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</si>
  <si>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</si>
  <si>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</si>
  <si>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</si>
  <si>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</si>
  <si>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</si>
  <si>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</si>
  <si>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</si>
  <si>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</si>
  <si>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</si>
  <si>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</si>
  <si>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</si>
  <si>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</si>
  <si>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</si>
  <si>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</si>
  <si>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</si>
  <si>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</si>
  <si>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</si>
  <si>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</si>
  <si>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</si>
  <si>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</si>
  <si>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</si>
  <si>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</si>
  <si>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</si>
  <si>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</si>
  <si>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</si>
  <si>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</si>
  <si>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</si>
  <si>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</si>
  <si>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</si>
  <si>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</si>
  <si>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</si>
  <si>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</si>
  <si>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</si>
  <si>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</si>
  <si>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</si>
  <si>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</si>
  <si>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</si>
  <si>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</si>
  <si>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</si>
  <si>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</si>
  <si>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</si>
  <si>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</si>
  <si>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</si>
  <si>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</si>
  <si>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</si>
  <si>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</si>
  <si>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</si>
  <si>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</si>
  <si>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</si>
  <si>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</si>
  <si>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</si>
  <si>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</si>
  <si>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</si>
  <si>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</si>
  <si>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</si>
  <si>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</si>
  <si>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</si>
  <si>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</si>
  <si>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</si>
  <si>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</si>
  <si>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</si>
  <si>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</si>
  <si>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</si>
  <si>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</si>
  <si>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</si>
  <si>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</si>
  <si>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</si>
  <si>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</si>
  <si>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</si>
  <si>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</si>
  <si>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</si>
  <si>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</si>
  <si>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</si>
  <si>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</si>
  <si>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</si>
  <si>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</si>
  <si>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</si>
  <si>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</si>
  <si>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</si>
  <si>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</si>
  <si>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</si>
  <si>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</si>
  <si>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</si>
  <si>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</si>
  <si>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</si>
  <si>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</si>
  <si>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</si>
  <si>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</si>
  <si>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</si>
  <si>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</si>
  <si>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</si>
  <si>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</si>
  <si>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</si>
  <si>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</si>
  <si>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</si>
  <si>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</si>
  <si>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</si>
  <si>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</si>
  <si>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</si>
  <si>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</si>
  <si>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</si>
  <si>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</si>
  <si>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</si>
  <si>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</si>
  <si>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</si>
  <si>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</si>
  <si>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</si>
  <si>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</si>
  <si>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</si>
  <si>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</si>
  <si>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</si>
  <si>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</si>
  <si>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</si>
  <si>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</si>
  <si>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</si>
  <si>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</si>
  <si>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</si>
  <si>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</si>
  <si>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</si>
  <si>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</si>
  <si>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</si>
  <si>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</si>
  <si>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</si>
  <si>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</si>
  <si>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</si>
  <si>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</si>
  <si>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</si>
  <si>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</si>
  <si>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</si>
  <si>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</si>
  <si>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</si>
  <si>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</si>
  <si>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</si>
  <si>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</si>
  <si>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</si>
  <si>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</si>
  <si>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</si>
  <si>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</si>
  <si>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</si>
  <si>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</si>
  <si>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</si>
  <si>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</si>
  <si>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</si>
  <si>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</si>
  <si>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</si>
  <si>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</si>
  <si>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</si>
  <si>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</si>
  <si>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</si>
  <si>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</si>
  <si>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</si>
  <si>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</si>
  <si>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</si>
  <si>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</si>
  <si>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</si>
  <si>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</si>
  <si>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</si>
  <si>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</si>
  <si>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</si>
  <si>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</si>
  <si>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</si>
  <si>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</si>
  <si>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</si>
  <si>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</si>
  <si>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</si>
  <si>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</si>
  <si>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</si>
  <si>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</si>
  <si>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</si>
  <si>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</si>
  <si>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</si>
  <si>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</si>
  <si>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</si>
  <si>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</si>
  <si>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</si>
  <si>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</si>
  <si>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</si>
  <si>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</si>
  <si>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</si>
  <si>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</si>
  <si>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</si>
  <si>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</si>
  <si>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</si>
  <si>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</si>
  <si>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</si>
  <si>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</si>
  <si>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</si>
  <si>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</si>
  <si>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</si>
  <si>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</si>
  <si>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</si>
  <si>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</si>
  <si>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</si>
  <si>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</si>
  <si>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</si>
  <si>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</si>
  <si>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</si>
  <si>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</si>
  <si>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</si>
  <si>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</si>
  <si>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</si>
  <si>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</si>
  <si>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</si>
  <si>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</si>
  <si>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</si>
  <si>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</si>
  <si>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</si>
  <si>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</si>
  <si>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</si>
  <si>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</si>
  <si>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</si>
  <si>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</si>
  <si>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</si>
  <si>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</si>
  <si>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</si>
  <si>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</si>
  <si>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</si>
  <si>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</si>
  <si>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</si>
  <si>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</si>
  <si>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</si>
  <si>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</si>
  <si>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</si>
  <si>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</si>
  <si>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</si>
  <si>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</si>
  <si>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</si>
  <si>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</si>
  <si>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</si>
  <si>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</si>
  <si>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</si>
  <si>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</si>
  <si>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</si>
  <si>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</si>
  <si>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</si>
  <si>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</si>
  <si>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</si>
  <si>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</si>
  <si>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</si>
  <si>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</si>
  <si>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</si>
  <si>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</si>
  <si>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</si>
  <si>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</si>
  <si>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</si>
  <si>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</si>
  <si>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</si>
  <si>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</si>
  <si>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</si>
  <si>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</si>
  <si>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</si>
  <si>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</si>
  <si>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</si>
  <si>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</si>
  <si>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</si>
  <si>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</si>
  <si>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</si>
  <si>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</si>
  <si>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</si>
  <si>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</si>
  <si>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</si>
  <si>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</si>
  <si>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</si>
  <si>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</si>
  <si>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</si>
  <si>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</si>
  <si>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</si>
  <si>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</si>
  <si>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</si>
  <si>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</si>
  <si>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</si>
  <si>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</si>
  <si>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</si>
  <si>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</si>
  <si>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</si>
  <si>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</si>
  <si>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</si>
  <si>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</si>
  <si>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</si>
  <si>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</si>
  <si>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</si>
  <si>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</si>
  <si>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</si>
  <si>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</si>
  <si>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</si>
  <si>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</si>
  <si>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</si>
  <si>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</si>
  <si>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</si>
  <si>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</si>
  <si>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</si>
  <si>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</si>
  <si>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</si>
  <si>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</si>
  <si>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</si>
  <si>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</si>
  <si>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</si>
  <si>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</si>
  <si>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</si>
  <si>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</si>
  <si>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</si>
  <si>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</si>
  <si>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</si>
  <si>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</si>
  <si>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</si>
  <si>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</si>
  <si>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</si>
  <si>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</si>
  <si>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</si>
  <si>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</si>
  <si>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</si>
  <si>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</si>
  <si>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</si>
  <si>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</si>
  <si>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</si>
  <si>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</si>
  <si>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</si>
  <si>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</si>
  <si>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</si>
  <si>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</si>
  <si>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</si>
  <si>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</si>
  <si>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</si>
  <si>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</si>
  <si>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</si>
  <si>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</si>
  <si>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</si>
  <si>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</si>
  <si>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</si>
  <si>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</si>
  <si>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</si>
  <si>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</si>
  <si>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</si>
  <si>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</si>
  <si>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</si>
  <si>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</si>
  <si>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</si>
  <si>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</si>
  <si>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</si>
  <si>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</si>
  <si>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</si>
  <si>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</si>
  <si>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</si>
  <si>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</si>
  <si>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</si>
  <si>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</si>
  <si>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</si>
  <si>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</si>
  <si>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</si>
  <si>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</si>
  <si>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</si>
  <si>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</si>
  <si>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</si>
  <si>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</si>
  <si>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</si>
  <si>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</si>
  <si>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</si>
  <si>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</si>
  <si>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</si>
  <si>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</si>
  <si>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</si>
  <si>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</si>
  <si>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</si>
  <si>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</si>
  <si>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</si>
  <si>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</si>
  <si>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</si>
  <si>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</si>
  <si>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</si>
  <si>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</si>
  <si>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</si>
  <si>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</si>
  <si>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</si>
  <si>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</si>
  <si>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</si>
  <si>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</si>
  <si>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</si>
  <si>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</si>
  <si>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</si>
  <si>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</si>
  <si>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</si>
  <si>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</si>
  <si>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</si>
  <si>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</si>
  <si>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</si>
  <si>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</si>
  <si>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</si>
  <si>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</si>
  <si>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</si>
  <si>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</si>
  <si>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</si>
  <si>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</si>
  <si>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</si>
  <si>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</si>
  <si>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</si>
  <si>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</si>
  <si>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</si>
  <si>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</si>
  <si>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</si>
  <si>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</si>
  <si>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</si>
  <si>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</si>
  <si>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</si>
  <si>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</si>
  <si>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</si>
  <si>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</si>
  <si>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</si>
  <si>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</si>
  <si>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</si>
  <si>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</si>
  <si>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</si>
  <si>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</si>
  <si>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</si>
  <si>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</si>
  <si>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</si>
  <si>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</si>
  <si>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</si>
  <si>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</si>
  <si>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</si>
  <si>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</si>
  <si>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</si>
  <si>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</si>
  <si>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</si>
  <si>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</si>
  <si>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</si>
  <si>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</si>
  <si>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</si>
  <si>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</si>
  <si>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</si>
  <si>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</si>
  <si>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</si>
  <si>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</si>
  <si>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</si>
  <si>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</si>
  <si>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</si>
  <si>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</si>
  <si>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</si>
  <si>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</si>
  <si>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</si>
  <si>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</si>
  <si>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</si>
  <si>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</si>
  <si>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</si>
  <si>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</si>
  <si>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</si>
  <si>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</si>
  <si>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</si>
  <si>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</si>
  <si>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</si>
  <si>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</si>
  <si>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</si>
  <si>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</si>
  <si>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</si>
  <si>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</si>
  <si>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</si>
  <si>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</si>
  <si>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</si>
  <si>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</si>
  <si>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</si>
  <si>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</si>
  <si>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</si>
  <si>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</si>
  <si>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</si>
  <si>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</si>
  <si>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</si>
  <si>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</si>
  <si>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</si>
  <si>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</si>
  <si>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</si>
  <si>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</si>
  <si>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</si>
  <si>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</si>
  <si>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</si>
  <si>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</si>
  <si>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</si>
  <si>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</si>
  <si>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</si>
  <si>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</si>
  <si>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</si>
  <si>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</si>
  <si>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</si>
  <si>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</si>
  <si>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</si>
  <si>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</si>
  <si>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</si>
  <si>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</si>
  <si>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</si>
  <si>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</si>
  <si>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</si>
  <si>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</si>
  <si>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</si>
  <si>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</si>
  <si>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</si>
  <si>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</si>
  <si>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</si>
  <si>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</si>
  <si>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</si>
  <si>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</si>
  <si>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</si>
  <si>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</si>
  <si>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</si>
  <si>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</si>
  <si>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</si>
  <si>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</si>
  <si>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</si>
  <si>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</si>
  <si>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</si>
  <si>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</si>
  <si>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</si>
  <si>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</si>
  <si>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</si>
  <si>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</si>
  <si>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</si>
  <si>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</si>
  <si>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</si>
  <si>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</si>
  <si>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</si>
  <si>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</si>
  <si>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</si>
  <si>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</si>
  <si>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</si>
  <si>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</si>
  <si>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</si>
  <si>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</si>
  <si>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</si>
  <si>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</si>
  <si>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</si>
  <si>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</si>
  <si>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</si>
  <si>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</si>
  <si>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</si>
  <si>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</si>
  <si>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</si>
  <si>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</si>
  <si>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</si>
  <si>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</si>
  <si>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</si>
  <si>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</si>
  <si>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</si>
  <si>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</si>
  <si>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</si>
  <si>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</si>
  <si>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</si>
  <si>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</si>
  <si>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</si>
  <si>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</si>
  <si>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</si>
  <si>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</si>
  <si>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</si>
  <si>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</si>
  <si>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</si>
  <si>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</si>
  <si>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</si>
  <si>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</si>
  <si>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</si>
  <si>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</si>
  <si>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</si>
  <si>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</si>
  <si>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</si>
  <si>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</si>
  <si>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</si>
  <si>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</si>
  <si>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</si>
  <si>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</si>
  <si>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</si>
  <si>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</si>
  <si>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</si>
  <si>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</si>
  <si>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</si>
  <si>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</si>
  <si>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</si>
  <si>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</si>
  <si>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</si>
  <si>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</si>
  <si>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</si>
  <si>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</si>
  <si>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</si>
  <si>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</si>
  <si>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</si>
  <si>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</si>
  <si>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</si>
  <si>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</si>
  <si>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</si>
  <si>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</si>
  <si>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</si>
  <si>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</si>
  <si>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</si>
  <si>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</si>
  <si>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</si>
  <si>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</si>
  <si>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</si>
  <si>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</si>
  <si>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</si>
  <si>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</si>
  <si>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</si>
  <si>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</si>
  <si>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</si>
  <si>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</si>
  <si>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</si>
  <si>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</si>
  <si>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</si>
  <si>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</si>
  <si>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</si>
  <si>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</si>
  <si>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</si>
  <si>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</si>
  <si>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</si>
  <si>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</si>
  <si>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</si>
  <si>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</si>
  <si>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</si>
  <si>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</si>
  <si>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</si>
  <si>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</si>
  <si>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</si>
  <si>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</si>
  <si>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</si>
  <si>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</si>
  <si>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</si>
  <si>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</si>
  <si>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</si>
  <si>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</si>
  <si>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</si>
  <si>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</si>
  <si>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</si>
  <si>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</si>
  <si>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</si>
  <si>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</si>
  <si>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</si>
  <si>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</si>
  <si>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</si>
  <si>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</si>
  <si>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</si>
  <si>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</si>
  <si>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</si>
  <si>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</si>
  <si>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</si>
  <si>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</si>
  <si>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</si>
  <si>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</si>
  <si>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</si>
  <si>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</si>
  <si>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</si>
  <si>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</si>
  <si>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</si>
  <si>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</si>
  <si>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</si>
  <si>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</si>
  <si>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</si>
  <si>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</si>
  <si>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</si>
  <si>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</si>
  <si>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</si>
  <si>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</si>
  <si>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</si>
  <si>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</si>
  <si>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</si>
  <si>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</si>
  <si>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</si>
  <si>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</si>
  <si>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</si>
  <si>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</si>
  <si>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</si>
  <si>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</si>
  <si>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</si>
  <si>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</si>
  <si>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</si>
  <si>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</si>
  <si>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</si>
  <si>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</si>
  <si>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</si>
  <si>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</si>
  <si>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</si>
  <si>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</si>
  <si>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</si>
  <si>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</si>
  <si>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</si>
  <si>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</si>
  <si>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</si>
  <si>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</si>
  <si>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</si>
  <si>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</si>
  <si>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</si>
  <si>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</si>
  <si>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</si>
  <si>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</si>
  <si>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</si>
  <si>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</si>
  <si>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</si>
  <si>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</si>
  <si>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</si>
  <si>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</si>
  <si>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</si>
  <si>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</si>
  <si>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</si>
  <si>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</si>
  <si>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</si>
  <si>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</si>
  <si>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</si>
  <si>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</si>
  <si>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</si>
  <si>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</si>
  <si>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</si>
  <si>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</si>
  <si>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</si>
  <si>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</si>
  <si>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</si>
  <si>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</si>
  <si>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</si>
  <si>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</si>
  <si>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</si>
  <si>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</si>
  <si>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</si>
  <si>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</si>
  <si>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</si>
  <si>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</si>
  <si>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</si>
  <si>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</si>
  <si>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</si>
  <si>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</si>
  <si>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</si>
  <si>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</si>
  <si>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</si>
  <si>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</si>
  <si>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</si>
  <si>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</si>
  <si>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</si>
  <si>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</si>
  <si>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</si>
  <si>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</si>
  <si>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</si>
  <si>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</si>
  <si>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</si>
  <si>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</si>
  <si>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</si>
  <si>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</si>
  <si>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</si>
  <si>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</si>
  <si>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</si>
  <si>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</si>
  <si>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</si>
  <si>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</si>
  <si>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</si>
  <si>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</si>
  <si>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</si>
  <si>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</si>
  <si>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</si>
  <si>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</si>
  <si>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</si>
  <si>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</si>
  <si>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</si>
  <si>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</si>
  <si>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</si>
  <si>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</si>
  <si>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</si>
  <si>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</si>
  <si>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</si>
  <si>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</si>
  <si>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</si>
  <si>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</si>
  <si>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</si>
  <si>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</si>
  <si>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</si>
  <si>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</si>
  <si>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</si>
  <si>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</si>
  <si>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</si>
  <si>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</si>
  <si>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</si>
  <si>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</si>
  <si>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</si>
  <si>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</si>
  <si>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</si>
  <si>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</si>
  <si>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</si>
  <si>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</si>
  <si>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</si>
  <si>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</si>
  <si>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</si>
  <si>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</si>
  <si>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</si>
  <si>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</si>
  <si>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</si>
  <si>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</si>
  <si>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</si>
  <si>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</si>
  <si>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</si>
  <si>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</si>
  <si>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</si>
  <si>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</si>
  <si>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</si>
  <si>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</si>
  <si>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</si>
  <si>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</si>
  <si>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</si>
  <si>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</si>
  <si>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</si>
  <si>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</si>
  <si>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</si>
  <si>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</si>
  <si>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</si>
  <si>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</si>
  <si>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</si>
  <si>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</si>
  <si>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</si>
  <si>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</si>
  <si>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</si>
  <si>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</si>
  <si>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</si>
  <si>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</si>
  <si>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</si>
  <si>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</si>
  <si>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</si>
  <si>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</si>
  <si>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</si>
  <si>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</si>
  <si>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</si>
  <si>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</si>
  <si>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</si>
  <si>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</si>
  <si>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</si>
  <si>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</si>
  <si>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</si>
  <si>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</si>
  <si>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</si>
  <si>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</si>
  <si>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</si>
  <si>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</si>
  <si>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</si>
  <si>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</si>
  <si>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</si>
  <si>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</si>
  <si>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</si>
  <si>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</si>
  <si>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</si>
  <si>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</si>
  <si>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</si>
  <si>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</si>
  <si>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</si>
  <si>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</si>
  <si>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</si>
  <si>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</si>
  <si>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</si>
  <si>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</si>
  <si>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</si>
  <si>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</si>
  <si>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</si>
  <si>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</si>
  <si>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</si>
  <si>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</si>
  <si>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</si>
  <si>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</si>
  <si>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</si>
  <si>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</si>
  <si>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</si>
  <si>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</si>
  <si>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</si>
  <si>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</si>
  <si>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</si>
  <si>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</si>
  <si>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</si>
  <si>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</si>
  <si>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</si>
  <si>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</si>
  <si>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</si>
  <si>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</si>
  <si>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</si>
  <si>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</si>
  <si>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</si>
  <si>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</si>
  <si>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</si>
  <si>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</si>
  <si>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</si>
  <si>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</si>
  <si>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</si>
  <si>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</si>
  <si>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</si>
  <si>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</si>
  <si>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</si>
  <si>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</si>
  <si>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</si>
  <si>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</si>
  <si>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</si>
  <si>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</si>
  <si>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</si>
  <si>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</si>
  <si>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</si>
  <si>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</si>
  <si>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</si>
  <si>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</si>
  <si>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</si>
  <si>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</si>
  <si>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</si>
  <si>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</si>
  <si>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</si>
  <si>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</si>
  <si>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</si>
  <si>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</si>
  <si>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</si>
  <si>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</si>
  <si>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</si>
  <si>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</si>
  <si>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</si>
  <si>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</si>
  <si>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</si>
  <si>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</si>
  <si>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</si>
  <si>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</si>
  <si>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</si>
  <si>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</si>
  <si>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</si>
  <si>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</si>
  <si>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</si>
  <si>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</si>
  <si>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</si>
  <si>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</si>
  <si>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</si>
  <si>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</si>
  <si>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</si>
  <si>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</si>
  <si>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</si>
  <si>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</si>
  <si>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</si>
  <si>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</si>
  <si>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</si>
  <si>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</si>
  <si>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</si>
  <si>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</si>
  <si>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</si>
  <si>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</si>
  <si>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</si>
  <si>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</si>
  <si>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</si>
  <si>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</si>
  <si>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</si>
  <si>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</si>
  <si>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</si>
  <si>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</si>
  <si>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</si>
  <si>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</si>
  <si>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</si>
  <si>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</si>
  <si>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</si>
  <si>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</si>
  <si>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</si>
  <si>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</si>
  <si>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</si>
  <si>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</si>
  <si>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</si>
  <si>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</si>
  <si>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</si>
  <si>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</si>
  <si>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</si>
  <si>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</si>
  <si>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</si>
  <si>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</si>
  <si>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</si>
  <si>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</si>
  <si>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</si>
  <si>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</si>
  <si>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</si>
  <si>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</si>
  <si>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</si>
  <si>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</si>
  <si>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</si>
  <si>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</si>
  <si>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</si>
  <si>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</si>
  <si>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</si>
  <si>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</si>
  <si>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</si>
  <si>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</si>
  <si>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</si>
  <si>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</si>
  <si>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</si>
  <si>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</si>
  <si>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</si>
  <si>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</si>
  <si>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</si>
  <si>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</si>
  <si>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</si>
  <si>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</si>
  <si>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</si>
  <si>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</si>
  <si>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</si>
  <si>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</si>
  <si>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</si>
  <si>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</si>
  <si>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</si>
  <si>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</si>
  <si>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</si>
  <si>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</si>
  <si>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</si>
  <si>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</si>
  <si>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</si>
  <si>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</si>
  <si>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</si>
  <si>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</si>
  <si>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</si>
  <si>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</si>
  <si>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</si>
  <si>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</si>
  <si>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</si>
  <si>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</si>
  <si>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</si>
  <si>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</si>
  <si>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</si>
  <si>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</si>
  <si>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</si>
  <si>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</si>
  <si>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</si>
  <si>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</si>
  <si>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</si>
  <si>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</si>
  <si>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</si>
  <si>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</si>
  <si>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</si>
  <si>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</si>
  <si>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</si>
  <si>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</si>
  <si>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</si>
  <si>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</si>
  <si>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</si>
  <si>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</si>
  <si>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</si>
  <si>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</si>
  <si>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</si>
  <si>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</si>
  <si>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</si>
  <si>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</si>
  <si>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</si>
  <si>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</si>
  <si>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</si>
  <si>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</si>
  <si>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</si>
  <si>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</si>
  <si>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</si>
  <si>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</si>
  <si>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</si>
  <si>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</si>
  <si>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</si>
  <si>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</si>
  <si>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</si>
  <si>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</si>
  <si>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</si>
  <si>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</si>
  <si>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</si>
  <si>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</si>
  <si>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</si>
  <si>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</si>
  <si>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</si>
  <si>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</si>
  <si>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</si>
  <si>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</si>
  <si>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</si>
  <si>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</si>
  <si>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</si>
  <si>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</si>
  <si>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</si>
  <si>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</si>
  <si>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</si>
  <si>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</si>
  <si>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</si>
  <si>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</si>
  <si>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</si>
  <si>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</si>
  <si>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</si>
  <si>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</si>
  <si>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</si>
  <si>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</si>
  <si>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</si>
  <si>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</si>
  <si>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</si>
  <si>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</si>
  <si>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</si>
  <si>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</si>
  <si>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</si>
  <si>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</si>
  <si>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</si>
  <si>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</si>
  <si>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</si>
  <si>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</si>
  <si>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</si>
  <si>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</si>
  <si>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</si>
  <si>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</si>
  <si>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</si>
  <si>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</si>
  <si>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</si>
  <si>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</si>
  <si>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</si>
  <si>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</si>
  <si>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</si>
  <si>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</si>
  <si>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</si>
  <si>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</si>
  <si>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</si>
  <si>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</si>
  <si>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</si>
  <si>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</si>
  <si>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</si>
  <si>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</si>
  <si>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</si>
  <si>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</si>
  <si>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</si>
  <si>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</si>
  <si>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</si>
  <si>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</si>
  <si>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</si>
  <si>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</si>
  <si>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</si>
  <si>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</si>
  <si>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</si>
  <si>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</si>
  <si>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</si>
  <si>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</si>
  <si>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</si>
  <si>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</si>
  <si>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</si>
  <si>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</si>
  <si>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</si>
  <si>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</si>
  <si>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</si>
  <si>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</si>
  <si>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</si>
  <si>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</si>
  <si>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</si>
  <si>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</si>
  <si>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</si>
  <si>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</si>
  <si>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</si>
  <si>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</si>
  <si>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</si>
  <si>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</si>
  <si>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</si>
  <si>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</si>
  <si>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</si>
  <si>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</si>
  <si>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</si>
  <si>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</si>
  <si>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</si>
  <si>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</si>
  <si>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</si>
  <si>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</si>
  <si>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</si>
  <si>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</si>
  <si>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</si>
  <si>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</si>
  <si>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</si>
  <si>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</si>
  <si>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</si>
  <si>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</si>
  <si>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</si>
  <si>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</si>
  <si>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</si>
  <si>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</si>
  <si>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</si>
  <si>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</si>
  <si>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</si>
  <si>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</si>
  <si>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</si>
  <si>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</si>
  <si>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</si>
  <si>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</si>
  <si>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</si>
  <si>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</si>
  <si>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</si>
  <si>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</si>
  <si>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</si>
  <si>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</si>
  <si>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</si>
  <si>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</si>
  <si>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</si>
  <si>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</si>
  <si>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</si>
  <si>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</si>
  <si>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</si>
  <si>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</si>
  <si>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</si>
  <si>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</si>
  <si>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</si>
  <si>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</si>
  <si>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</si>
  <si>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</si>
  <si>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</si>
  <si>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</si>
  <si>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</si>
  <si>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</si>
  <si>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</si>
  <si>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</si>
  <si>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</si>
  <si>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</si>
  <si>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</si>
  <si>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</si>
  <si>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</si>
  <si>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</si>
  <si>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</si>
  <si>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</si>
  <si>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</si>
  <si>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</si>
  <si>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</si>
  <si>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</si>
  <si>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</si>
  <si>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</si>
  <si>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</si>
  <si>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</si>
  <si>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</si>
  <si>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</si>
  <si>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</si>
  <si>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</si>
  <si>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</si>
  <si>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</si>
  <si>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</si>
  <si>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</si>
  <si>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</si>
  <si>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</si>
  <si>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</si>
  <si>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</si>
  <si>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</si>
  <si>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</si>
  <si>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</si>
  <si>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</si>
  <si>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</si>
  <si>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</si>
  <si>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</si>
  <si>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</si>
  <si>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</si>
  <si>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</si>
  <si>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</si>
  <si>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</si>
  <si>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</si>
  <si>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</si>
  <si>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</si>
  <si>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</si>
  <si>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</si>
  <si>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</si>
  <si>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</si>
  <si>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</si>
  <si>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</si>
  <si>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</si>
  <si>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</si>
  <si>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</si>
  <si>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</si>
  <si>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</si>
  <si>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</si>
  <si>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</si>
  <si>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</si>
  <si>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</si>
  <si>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</si>
  <si>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</si>
  <si>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</si>
  <si>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</si>
  <si>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</si>
  <si>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</si>
  <si>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</si>
  <si>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</si>
  <si>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</si>
  <si>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</si>
  <si>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</si>
  <si>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</si>
  <si>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</si>
  <si>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</si>
  <si>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</si>
  <si>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</si>
  <si>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</si>
  <si>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</si>
  <si>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</si>
  <si>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</si>
  <si>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</si>
  <si>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</si>
  <si>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</si>
  <si>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</si>
  <si>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</si>
  <si>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</si>
  <si>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</si>
  <si>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</si>
  <si>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</si>
  <si>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</si>
  <si>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</si>
  <si>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</si>
  <si>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</si>
  <si>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</si>
  <si>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</si>
  <si>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</si>
  <si>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</si>
  <si>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</si>
  <si>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</si>
  <si>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</si>
  <si>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</si>
  <si>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</si>
  <si>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</si>
  <si>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</si>
  <si>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</si>
  <si>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</si>
  <si>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</si>
  <si>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</si>
  <si>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</si>
  <si>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</si>
  <si>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</si>
  <si>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</si>
  <si>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</si>
  <si>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</si>
  <si>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</si>
  <si>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</si>
  <si>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</si>
  <si>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</si>
  <si>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</si>
  <si>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</si>
  <si>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</si>
  <si>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</si>
  <si>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</si>
  <si>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</si>
  <si>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</si>
  <si>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</si>
  <si>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</si>
  <si>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</si>
  <si>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</si>
  <si>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</si>
  <si>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</si>
  <si>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</si>
  <si>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</si>
  <si>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</si>
  <si>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</si>
  <si>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</si>
  <si>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</si>
  <si>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</si>
  <si>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</si>
  <si>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</si>
  <si>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</si>
  <si>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</si>
  <si>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</si>
  <si>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</si>
  <si>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</si>
  <si>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</si>
  <si>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</si>
  <si>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</si>
  <si>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</si>
  <si>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</si>
  <si>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</si>
  <si>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</si>
  <si>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</si>
  <si>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</si>
  <si>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</si>
  <si>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</si>
  <si>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</si>
  <si>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</si>
  <si>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</si>
  <si>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</si>
  <si>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</si>
  <si>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</si>
  <si>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</si>
  <si>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</si>
  <si>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</si>
  <si>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</si>
  <si>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</si>
  <si>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</si>
  <si>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</si>
  <si>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</si>
  <si>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</si>
  <si>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</si>
  <si>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</si>
  <si>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</si>
  <si>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</si>
  <si>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</si>
  <si>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</si>
  <si>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</si>
  <si>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</si>
  <si>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</si>
  <si>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</si>
  <si>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</si>
  <si>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</si>
  <si>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</si>
  <si>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</si>
  <si>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</si>
  <si>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</si>
  <si>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</si>
  <si>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</si>
  <si>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</si>
  <si>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</si>
  <si>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</si>
  <si>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</si>
  <si>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</si>
  <si>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</si>
  <si>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</si>
  <si>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</si>
  <si>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</si>
  <si>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</si>
  <si>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</si>
  <si>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</si>
  <si>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</si>
  <si>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</si>
  <si>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</si>
  <si>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</si>
  <si>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</si>
  <si>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</si>
  <si>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</si>
  <si>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</si>
  <si>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</si>
  <si>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</si>
  <si>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</si>
  <si>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</si>
  <si>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</si>
  <si>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</si>
  <si>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</si>
  <si>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</si>
  <si>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</si>
  <si>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</si>
  <si>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</si>
  <si>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</si>
  <si>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</si>
  <si>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</si>
  <si>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</si>
  <si>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</si>
  <si>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</si>
  <si>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</si>
  <si>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</si>
  <si>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</si>
  <si>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</si>
  <si>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</si>
  <si>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</si>
  <si>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</si>
  <si>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</si>
  <si>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</si>
  <si>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</si>
  <si>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</si>
  <si>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</si>
  <si>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</si>
  <si>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</si>
  <si>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</si>
  <si>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</si>
  <si>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</si>
  <si>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</si>
  <si>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</si>
  <si>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</si>
  <si>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</si>
  <si>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</si>
  <si>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</si>
  <si>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</si>
  <si>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</si>
  <si>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</si>
  <si>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</si>
  <si>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</si>
  <si>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</si>
  <si>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</si>
  <si>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</si>
  <si>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</si>
  <si>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</si>
  <si>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</si>
  <si>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</si>
  <si>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</si>
  <si>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</si>
  <si>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</si>
  <si>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</si>
  <si>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</si>
  <si>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</si>
  <si>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</si>
  <si>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</si>
  <si>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</si>
  <si>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</si>
  <si>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</si>
  <si>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</si>
  <si>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</si>
  <si>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</si>
  <si>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</si>
  <si>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</si>
  <si>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</si>
  <si>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</si>
  <si>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</si>
  <si>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</si>
  <si>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</si>
  <si>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</si>
  <si>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</si>
  <si>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</si>
  <si>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</si>
  <si>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</si>
  <si>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</si>
  <si>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</si>
  <si>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</si>
  <si>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</si>
  <si>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</si>
  <si>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</si>
  <si>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</si>
  <si>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</si>
  <si>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</si>
  <si>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</si>
  <si>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</si>
  <si>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</si>
  <si>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</si>
  <si>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</si>
  <si>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</si>
  <si>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</si>
  <si>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</si>
  <si>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</si>
  <si>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</si>
  <si>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</si>
  <si>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</si>
  <si>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</si>
  <si>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</si>
  <si>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</si>
  <si>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</si>
  <si>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</si>
  <si>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</si>
  <si>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</si>
  <si>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</si>
  <si>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</si>
  <si>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</si>
  <si>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</si>
  <si>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</si>
  <si>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</si>
  <si>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</si>
  <si>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</si>
  <si>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</si>
  <si>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</si>
  <si>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</si>
  <si>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</si>
  <si>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</si>
  <si>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</si>
  <si>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</si>
  <si>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</si>
  <si>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</si>
  <si>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</si>
  <si>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</si>
  <si>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</si>
  <si>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</si>
  <si>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</si>
  <si>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</si>
  <si>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</si>
  <si>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</si>
  <si>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</si>
  <si>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</si>
  <si>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</si>
  <si>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</si>
  <si>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</si>
  <si>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</si>
  <si>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</si>
  <si>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</si>
  <si>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</si>
  <si>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</si>
  <si>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</si>
  <si>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</si>
  <si>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</si>
  <si>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</si>
  <si>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</si>
  <si>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</si>
  <si>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</si>
  <si>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</si>
  <si>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</si>
  <si>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</si>
  <si>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</si>
  <si>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</si>
  <si>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</si>
  <si>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</si>
  <si>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</si>
  <si>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</si>
  <si>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</si>
  <si>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</si>
  <si>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</si>
  <si>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</si>
  <si>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</si>
  <si>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</si>
  <si>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</si>
  <si>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</si>
  <si>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</si>
  <si>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</si>
  <si>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</si>
  <si>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</si>
  <si>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</si>
  <si>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</si>
  <si>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</si>
  <si>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</si>
  <si>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</si>
  <si>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</si>
  <si>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</si>
  <si>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</si>
  <si>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</si>
  <si>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</si>
  <si>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</si>
  <si>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</si>
  <si>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</si>
  <si>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</si>
  <si>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</si>
  <si>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</si>
  <si>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</si>
  <si>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</si>
  <si>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</si>
  <si>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</si>
  <si>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</si>
  <si>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</si>
  <si>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</si>
  <si>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</si>
  <si>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</si>
  <si>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</si>
  <si>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</si>
  <si>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</si>
  <si>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</si>
  <si>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</si>
  <si>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</si>
  <si>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</si>
  <si>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</si>
  <si>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</si>
  <si>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</si>
  <si>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</si>
  <si>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</si>
  <si>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</si>
  <si>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</si>
  <si>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</si>
  <si>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</si>
  <si>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</si>
  <si>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</si>
  <si>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</si>
  <si>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</si>
  <si>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</si>
  <si>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</si>
  <si>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</si>
  <si>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</si>
  <si>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</si>
  <si>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</si>
  <si>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</si>
  <si>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</si>
  <si>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</si>
  <si>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</si>
  <si>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</si>
  <si>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</si>
  <si>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</si>
  <si>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</si>
  <si>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</si>
  <si>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</si>
  <si>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</si>
  <si>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</si>
  <si>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</si>
  <si>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</si>
  <si>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</si>
  <si>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</si>
  <si>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</si>
  <si>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</si>
  <si>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</si>
  <si>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</si>
  <si>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</si>
  <si>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</si>
  <si>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</si>
  <si>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</si>
  <si>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</si>
  <si>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</si>
  <si>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</si>
  <si>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</si>
  <si>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</si>
  <si>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</si>
  <si>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</si>
  <si>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</si>
  <si>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</si>
  <si>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</si>
  <si>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</si>
  <si>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</si>
  <si>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</si>
  <si>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</si>
  <si>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</si>
  <si>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</si>
  <si>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</si>
  <si>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</si>
  <si>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</si>
  <si>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</si>
  <si>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</si>
  <si>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</si>
  <si>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</si>
  <si>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</si>
  <si>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</si>
  <si>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</si>
  <si>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</si>
  <si>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</si>
  <si>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</si>
  <si>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</si>
  <si>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</si>
  <si>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</si>
  <si>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</si>
  <si>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</si>
  <si>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</si>
  <si>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</si>
  <si>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</si>
  <si>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</si>
  <si>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</si>
  <si>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</si>
  <si>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</si>
  <si>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</si>
  <si>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</si>
  <si>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</si>
  <si>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</si>
  <si>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</si>
  <si>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</si>
  <si>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</si>
  <si>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</si>
  <si>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</si>
  <si>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</si>
  <si>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</si>
  <si>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</si>
  <si>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</si>
  <si>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</si>
  <si>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</si>
  <si>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</si>
  <si>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</si>
  <si>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</si>
  <si>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</si>
  <si>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</si>
  <si>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</si>
  <si>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</si>
  <si>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</si>
  <si>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</si>
  <si>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</si>
  <si>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</si>
  <si>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</si>
  <si>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</si>
  <si>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</si>
  <si>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</si>
  <si>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</si>
  <si>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</si>
  <si>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</si>
  <si>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</si>
  <si>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</si>
  <si>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</si>
  <si>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</si>
  <si>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</si>
  <si>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</si>
  <si>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</si>
  <si>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</si>
  <si>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</si>
  <si>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</si>
  <si>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</si>
  <si>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</si>
  <si>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</si>
  <si>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</si>
  <si>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</si>
  <si>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</si>
  <si>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</si>
  <si>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</si>
  <si>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</si>
  <si>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</si>
  <si>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</si>
  <si>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</si>
  <si>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</si>
  <si>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</si>
  <si>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</si>
  <si>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</si>
  <si>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</si>
  <si>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</si>
  <si>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</si>
  <si>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</si>
  <si>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</si>
  <si>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</si>
  <si>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</si>
  <si>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</si>
  <si>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</si>
  <si>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</si>
  <si>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</si>
  <si>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</si>
  <si>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</si>
  <si>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</si>
  <si>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</si>
  <si>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</si>
  <si>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</si>
  <si>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</si>
  <si>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</si>
  <si>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</si>
  <si>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</si>
  <si>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</si>
  <si>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</si>
  <si>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</si>
  <si>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</si>
  <si>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</si>
  <si>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</si>
  <si>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</si>
  <si>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</si>
  <si>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</si>
  <si>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</si>
  <si>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</si>
  <si>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</si>
  <si>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</si>
  <si>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</si>
  <si>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</si>
  <si>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</si>
  <si>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</si>
  <si>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</si>
  <si>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</si>
  <si>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</si>
  <si>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</si>
  <si>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</si>
  <si>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</si>
  <si>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</si>
  <si>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</si>
  <si>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</si>
  <si>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</si>
  <si>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</si>
  <si>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</si>
  <si>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</si>
  <si>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</si>
  <si>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</si>
  <si>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</si>
  <si>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</si>
  <si>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</si>
  <si>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</si>
  <si>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</si>
  <si>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</si>
  <si>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</si>
  <si>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</si>
  <si>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</si>
  <si>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</si>
  <si>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</si>
  <si>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</si>
  <si>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</si>
  <si>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</si>
  <si>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</si>
  <si>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</si>
  <si>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</si>
  <si>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</si>
  <si>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</si>
  <si>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</si>
  <si>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</si>
  <si>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</si>
  <si>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</si>
  <si>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</si>
  <si>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</si>
  <si>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</si>
  <si>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</si>
  <si>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</si>
  <si>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</si>
  <si>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</si>
  <si>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</si>
  <si>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</si>
  <si>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</si>
  <si>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</si>
  <si>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</si>
  <si>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</si>
  <si>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</si>
  <si>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</si>
  <si>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</si>
  <si>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</si>
  <si>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</si>
  <si>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</si>
  <si>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</si>
  <si>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</si>
  <si>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</si>
  <si>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</si>
  <si>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</si>
  <si>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</si>
  <si>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</si>
  <si>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</si>
  <si>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</si>
  <si>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</si>
  <si>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</si>
  <si>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</si>
  <si>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</si>
  <si>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</si>
  <si>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</si>
  <si>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</si>
  <si>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</si>
  <si>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</si>
  <si>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</si>
  <si>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</si>
  <si>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</si>
  <si>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</si>
  <si>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</si>
  <si>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</si>
  <si>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</si>
  <si>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</si>
  <si>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</si>
  <si>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</si>
  <si>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</si>
  <si>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</si>
  <si>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</si>
  <si>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</si>
  <si>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</si>
  <si>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</si>
  <si>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</si>
  <si>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</si>
  <si>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</si>
  <si>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</si>
  <si>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</si>
  <si>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</si>
  <si>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</si>
  <si>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</si>
  <si>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</si>
  <si>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</si>
  <si>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</si>
  <si>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</si>
  <si>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</si>
  <si>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</si>
  <si>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</si>
  <si>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</si>
  <si>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</si>
  <si>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</si>
  <si>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</si>
  <si>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</si>
  <si>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</si>
  <si>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</si>
  <si>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</si>
  <si>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</si>
  <si>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</si>
  <si>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</si>
  <si>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</si>
  <si>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</si>
  <si>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</si>
  <si>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</si>
  <si>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</si>
  <si>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</si>
  <si>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</si>
  <si>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</si>
  <si>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</si>
  <si>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</si>
  <si>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</si>
  <si>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</si>
  <si>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</si>
  <si>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</si>
  <si>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</si>
  <si>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</si>
  <si>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</si>
  <si>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</si>
  <si>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</si>
  <si>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</si>
  <si>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</si>
  <si>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</si>
  <si>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</si>
  <si>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</si>
  <si>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</si>
  <si>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</si>
  <si>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</si>
  <si>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</si>
  <si>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</si>
  <si>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</si>
  <si>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</si>
  <si>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</si>
  <si>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</si>
  <si>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</si>
  <si>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</si>
  <si>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</si>
  <si>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</si>
  <si>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</si>
  <si>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</si>
  <si>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</si>
  <si>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</si>
  <si>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</si>
  <si>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</si>
  <si>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</si>
  <si>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</si>
  <si>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</si>
  <si>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</si>
  <si>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</si>
  <si>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</si>
  <si>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</si>
  <si>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</si>
  <si>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</si>
  <si>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</si>
  <si>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</si>
  <si>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</si>
  <si>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</si>
  <si>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</si>
  <si>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</si>
  <si>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</si>
  <si>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</si>
  <si>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</si>
  <si>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</si>
  <si>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</si>
  <si>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</si>
  <si>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</si>
  <si>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</si>
  <si>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</si>
  <si>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</si>
  <si>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</si>
  <si>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</si>
  <si>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</si>
  <si>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</si>
  <si>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</si>
  <si>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</si>
  <si>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</si>
  <si>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</si>
  <si>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</si>
  <si>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</si>
  <si>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</si>
  <si>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</si>
  <si>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</si>
  <si>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</si>
  <si>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</si>
  <si>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</si>
  <si>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</si>
  <si>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</si>
  <si>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</si>
  <si>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</si>
  <si>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</si>
  <si>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</si>
  <si>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</si>
  <si>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</si>
  <si>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</si>
  <si>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</si>
  <si>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</si>
  <si>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</si>
  <si>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</si>
  <si>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</si>
  <si>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</si>
  <si>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</si>
  <si>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</si>
  <si>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</si>
  <si>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</si>
  <si>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</si>
  <si>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</si>
  <si>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</si>
  <si>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</si>
  <si>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</si>
  <si>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</si>
  <si>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</si>
  <si>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</si>
  <si>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</si>
  <si>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</si>
  <si>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</si>
  <si>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</si>
  <si>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</si>
  <si>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</si>
  <si>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</si>
  <si>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</si>
  <si>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</si>
  <si>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</si>
  <si>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</si>
  <si>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</si>
  <si>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</si>
  <si>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</si>
  <si>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</si>
  <si>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</si>
  <si>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</si>
  <si>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</si>
  <si>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</si>
  <si>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</si>
  <si>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</si>
  <si>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</si>
  <si>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</si>
  <si>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</si>
  <si>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</si>
  <si>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</si>
  <si>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</si>
  <si>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</si>
  <si>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</si>
  <si>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</si>
  <si>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</si>
  <si>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</si>
  <si>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</si>
  <si>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</si>
  <si>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</si>
  <si>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</si>
  <si>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</si>
  <si>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</si>
  <si>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</si>
  <si>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</si>
  <si>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</si>
  <si>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</si>
  <si>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</si>
  <si>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</si>
  <si>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</si>
  <si>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</si>
  <si>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</si>
  <si>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</si>
  <si>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</si>
  <si>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</si>
  <si>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</si>
  <si>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</si>
  <si>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</si>
  <si>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</si>
  <si>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</si>
  <si>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</si>
  <si>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</si>
  <si>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</si>
  <si>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</si>
  <si>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</si>
  <si>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</si>
  <si>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</si>
  <si>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</si>
  <si>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</si>
  <si>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</si>
  <si>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</si>
  <si>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</si>
  <si>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</si>
  <si>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</si>
  <si>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</si>
  <si>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</si>
  <si>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</si>
  <si>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</si>
  <si>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</si>
  <si>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</si>
  <si>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</si>
  <si>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</si>
  <si>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</si>
  <si>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</si>
  <si>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</si>
  <si>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</si>
  <si>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</si>
  <si>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</si>
  <si>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</si>
  <si>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</si>
  <si>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</si>
  <si>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</si>
  <si>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</si>
  <si>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</si>
  <si>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</si>
  <si>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</si>
  <si>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</si>
  <si>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</si>
  <si>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</si>
  <si>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</si>
  <si>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</si>
  <si>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</si>
  <si>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</si>
  <si>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</si>
  <si>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</si>
  <si>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</si>
  <si>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</si>
  <si>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</si>
  <si>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</si>
  <si>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</si>
  <si>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</si>
  <si>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</si>
  <si>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</si>
  <si>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</si>
  <si>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</si>
  <si>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</si>
  <si>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</si>
  <si>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</si>
  <si>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</si>
  <si>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</si>
  <si>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</si>
  <si>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</si>
  <si>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</si>
  <si>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</si>
  <si>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</si>
  <si>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</si>
  <si>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</si>
  <si>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</si>
  <si>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</si>
  <si>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</si>
  <si>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</si>
  <si>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</si>
  <si>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</si>
  <si>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</si>
  <si>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</si>
  <si>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</si>
  <si>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</si>
  <si>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</si>
  <si>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</si>
  <si>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</si>
  <si>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</si>
  <si>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</si>
  <si>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</si>
  <si>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</si>
  <si>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</si>
  <si>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</si>
  <si>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</si>
  <si>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</si>
  <si>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</si>
  <si>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</si>
  <si>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</si>
  <si>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</si>
  <si>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</si>
  <si>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</si>
  <si>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</si>
  <si>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</si>
  <si>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</si>
  <si>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</si>
  <si>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</si>
  <si>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</si>
  <si>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</si>
  <si>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</si>
  <si>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</si>
  <si>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</si>
  <si>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</si>
  <si>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</si>
  <si>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</si>
  <si>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</si>
  <si>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</si>
  <si>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</si>
  <si>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</si>
  <si>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</si>
  <si>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</si>
  <si>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</si>
  <si>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</si>
  <si>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</si>
  <si>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</si>
  <si>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</si>
  <si>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</si>
  <si>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</si>
  <si>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</si>
  <si>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</si>
  <si>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</si>
  <si>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</si>
  <si>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</si>
  <si>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</si>
  <si>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</si>
  <si>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</si>
  <si>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</si>
  <si>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</si>
  <si>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</si>
  <si>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</si>
  <si>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</si>
  <si>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</si>
  <si>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</si>
  <si>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</si>
  <si>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</si>
  <si>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</si>
  <si>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</si>
  <si>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</si>
  <si>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</si>
  <si>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</si>
  <si>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</si>
  <si>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</si>
  <si>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</si>
  <si>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</si>
  <si>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</si>
  <si>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</si>
  <si>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</si>
  <si>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</si>
  <si>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</si>
  <si>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</si>
  <si>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</si>
  <si>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</si>
  <si>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</si>
  <si>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</si>
  <si>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</si>
  <si>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</si>
  <si>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</si>
  <si>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</si>
  <si>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</si>
  <si>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</si>
  <si>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</si>
  <si>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</si>
  <si>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</si>
  <si>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</si>
  <si>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</si>
  <si>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</si>
  <si>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</si>
  <si>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</si>
  <si>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</si>
  <si>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</si>
  <si>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</si>
  <si>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</si>
  <si>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</si>
  <si>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</si>
  <si>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</si>
  <si>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</si>
  <si>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</si>
  <si>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</si>
  <si>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</si>
  <si>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</si>
  <si>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</si>
  <si>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</si>
  <si>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</si>
  <si>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</si>
  <si>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</si>
  <si>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</si>
  <si>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</si>
  <si>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</si>
  <si>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</si>
  <si>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</si>
  <si>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</si>
  <si>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</si>
  <si>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</si>
  <si>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</si>
  <si>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</si>
  <si>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</si>
  <si>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</si>
  <si>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</si>
  <si>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</si>
  <si>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</si>
  <si>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</si>
  <si>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</si>
  <si>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</si>
  <si>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</si>
  <si>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</si>
  <si>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</si>
  <si>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</si>
  <si>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</si>
  <si>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</si>
  <si>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</si>
  <si>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</si>
  <si>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</si>
  <si>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</si>
  <si>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</si>
  <si>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</si>
  <si>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</si>
  <si>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</si>
  <si>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</si>
  <si>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</si>
  <si>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</si>
  <si>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</si>
  <si>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</si>
  <si>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</si>
  <si>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</si>
  <si>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</si>
  <si>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</si>
  <si>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</si>
  <si>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</si>
  <si>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</si>
  <si>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</si>
  <si>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</si>
  <si>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</si>
  <si>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</si>
  <si>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</si>
  <si>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</si>
  <si>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</si>
  <si>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</si>
  <si>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</si>
  <si>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</si>
  <si>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</si>
  <si>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</si>
  <si>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</si>
  <si>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</si>
  <si>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</si>
  <si>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</si>
  <si>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</si>
  <si>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</si>
  <si>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</si>
  <si>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</si>
  <si>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</si>
  <si>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</si>
  <si>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</si>
  <si>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</si>
  <si>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</si>
  <si>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</si>
  <si>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</si>
  <si>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</si>
  <si>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</si>
  <si>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</si>
  <si>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</si>
  <si>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</si>
  <si>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</si>
  <si>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</si>
  <si>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</si>
  <si>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</si>
  <si>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</si>
  <si>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</si>
  <si>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</si>
  <si>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</si>
  <si>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</si>
  <si>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</si>
  <si>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</si>
  <si>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</si>
  <si>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</si>
  <si>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</si>
  <si>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</si>
  <si>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</si>
  <si>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</si>
  <si>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</si>
  <si>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</si>
  <si>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</si>
  <si>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</si>
  <si>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</si>
  <si>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</si>
  <si>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</si>
  <si>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</si>
  <si>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</si>
  <si>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</si>
  <si>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</si>
  <si>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</si>
  <si>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</si>
  <si>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</si>
  <si>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</si>
  <si>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</si>
  <si>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</si>
  <si>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</si>
  <si>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</si>
  <si>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</si>
  <si>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</si>
  <si>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</si>
  <si>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</si>
  <si>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</si>
  <si>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</si>
  <si>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</si>
  <si>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</si>
  <si>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</si>
  <si>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</si>
  <si>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</si>
  <si>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</si>
  <si>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</si>
  <si>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</si>
  <si>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</si>
  <si>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</si>
  <si>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</si>
  <si>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</si>
  <si>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</si>
  <si>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</si>
  <si>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</si>
  <si>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</si>
  <si>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</si>
  <si>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</si>
  <si>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</si>
  <si>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</si>
  <si>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</si>
  <si>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</si>
  <si>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</si>
  <si>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</si>
  <si>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</si>
  <si>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</si>
  <si>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</si>
  <si>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</si>
  <si>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</si>
  <si>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</si>
  <si>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</si>
  <si>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</si>
  <si>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</si>
  <si>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</si>
  <si>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</si>
  <si>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</si>
  <si>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</si>
  <si>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</si>
  <si>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</si>
  <si>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</si>
  <si>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</si>
  <si>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</si>
  <si>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</si>
  <si>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</si>
  <si>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</si>
  <si>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</si>
  <si>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</si>
  <si>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</si>
  <si>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</si>
  <si>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</si>
  <si>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</si>
  <si>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</si>
  <si>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</si>
  <si>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</si>
  <si>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</si>
  <si>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</si>
  <si>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</si>
  <si>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</si>
  <si>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</si>
  <si>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</si>
  <si>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</si>
  <si>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</si>
  <si>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</si>
  <si>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</si>
  <si>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</si>
  <si>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</si>
  <si>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</si>
  <si>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</si>
  <si>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</si>
  <si>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</si>
  <si>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</si>
  <si>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</si>
  <si>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</si>
  <si>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</si>
  <si>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</si>
  <si>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</si>
  <si>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</si>
  <si>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</si>
  <si>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</si>
  <si>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</si>
  <si>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</si>
  <si>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</si>
  <si>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</si>
  <si>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</si>
  <si>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</si>
  <si>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</si>
  <si>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</si>
  <si>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</si>
  <si>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</si>
  <si>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</si>
  <si>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</si>
  <si>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</si>
  <si>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</si>
  <si>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</si>
  <si>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</si>
  <si>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</si>
  <si>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</si>
  <si>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</si>
  <si>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</si>
  <si>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</si>
  <si>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</si>
  <si>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</si>
  <si>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</si>
  <si>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</si>
  <si>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</si>
  <si>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</si>
  <si>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</si>
  <si>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</si>
  <si>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</si>
  <si>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</si>
  <si>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</si>
  <si>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</si>
  <si>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</si>
  <si>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</si>
  <si>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</si>
  <si>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</si>
  <si>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</si>
  <si>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</si>
  <si>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</si>
  <si>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</si>
  <si>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</si>
  <si>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</si>
  <si>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</si>
  <si>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</si>
  <si>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</si>
  <si>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</si>
  <si>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</si>
  <si>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</si>
  <si>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</si>
  <si>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</si>
  <si>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</si>
  <si>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</si>
  <si>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</si>
  <si>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</si>
  <si>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</si>
  <si>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</si>
  <si>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</si>
  <si>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</si>
  <si>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</si>
  <si>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</si>
  <si>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</si>
  <si>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</si>
  <si>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</si>
  <si>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</si>
  <si>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</si>
  <si>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</si>
  <si>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</si>
  <si>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</si>
  <si>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</si>
  <si>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</si>
  <si>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</si>
  <si>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</si>
  <si>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</si>
  <si>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</si>
  <si>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</si>
  <si>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</si>
  <si>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</si>
  <si>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</si>
  <si>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</si>
  <si>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</si>
  <si>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</si>
  <si>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</si>
  <si>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</si>
  <si>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</si>
  <si>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</si>
  <si>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</si>
  <si>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</si>
  <si>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</si>
  <si>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</si>
  <si>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</si>
  <si>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</si>
  <si>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</si>
  <si>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</si>
  <si>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</si>
  <si>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</si>
  <si>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</si>
  <si>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</si>
  <si>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</si>
  <si>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</si>
  <si>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</si>
  <si>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</si>
  <si>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</si>
  <si>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</si>
  <si>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</si>
  <si>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</si>
  <si>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</si>
  <si>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</si>
  <si>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</si>
  <si>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</si>
  <si>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</si>
  <si>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</si>
  <si>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</si>
  <si>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</si>
  <si>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</si>
  <si>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</si>
  <si>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</si>
  <si>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</si>
  <si>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</si>
  <si>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</si>
  <si>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</si>
  <si>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</si>
  <si>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</si>
  <si>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</si>
  <si>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</si>
  <si>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</si>
  <si>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</si>
  <si>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</si>
  <si>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</si>
  <si>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</si>
  <si>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</si>
  <si>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</si>
  <si>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</si>
  <si>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</si>
  <si>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</si>
  <si>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</si>
  <si>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</si>
  <si>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</si>
  <si>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</si>
  <si>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</si>
  <si>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</si>
  <si>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</si>
  <si>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</si>
  <si>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</si>
  <si>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</si>
  <si>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</si>
  <si>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</si>
  <si>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</si>
  <si>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</si>
  <si>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</si>
  <si>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</si>
  <si>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</si>
  <si>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</si>
  <si>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</si>
  <si>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</si>
  <si>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</si>
  <si>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</si>
  <si>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</si>
  <si>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</si>
  <si>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</si>
  <si>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</si>
  <si>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</si>
  <si>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</si>
  <si>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</si>
  <si>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</si>
  <si>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</si>
  <si>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</si>
  <si>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</si>
  <si>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</si>
  <si>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</si>
  <si>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</si>
  <si>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</si>
  <si>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</si>
  <si>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</si>
  <si>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</si>
  <si>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</si>
  <si>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</si>
  <si>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</si>
  <si>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</si>
  <si>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</si>
  <si>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</si>
  <si>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</si>
  <si>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</si>
  <si>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</si>
  <si>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</si>
  <si>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</si>
  <si>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</si>
  <si>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</si>
  <si>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</si>
  <si>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</si>
  <si>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</si>
  <si>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</si>
  <si>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</si>
  <si>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</si>
  <si>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</si>
  <si>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</si>
  <si>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</si>
  <si>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</si>
  <si>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</si>
  <si>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</si>
  <si>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</si>
  <si>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</si>
  <si>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</si>
  <si>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</si>
  <si>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</si>
  <si>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</si>
  <si>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</si>
  <si>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</si>
  <si>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</si>
  <si>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</si>
  <si>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</si>
  <si>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</si>
  <si>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</si>
  <si>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</si>
  <si>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</si>
  <si>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</si>
  <si>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</si>
  <si>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</si>
  <si>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</si>
  <si>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</si>
  <si>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</si>
  <si>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</si>
  <si>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</si>
  <si>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</si>
  <si>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</si>
  <si>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</si>
  <si>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</si>
  <si>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</si>
  <si>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</si>
  <si>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</si>
  <si>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</si>
  <si>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</si>
  <si>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</si>
  <si>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</si>
  <si>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</si>
  <si>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</si>
  <si>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</si>
  <si>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</si>
  <si>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</si>
  <si>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</si>
  <si>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</si>
  <si>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</si>
  <si>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</si>
  <si>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</si>
  <si>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</si>
  <si>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</si>
  <si>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</si>
  <si>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</si>
  <si>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</si>
  <si>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</si>
  <si>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</si>
  <si>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</si>
  <si>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</si>
  <si>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</si>
  <si>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</si>
  <si>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</si>
  <si>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</si>
  <si>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</si>
  <si>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</si>
  <si>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</si>
  <si>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</si>
  <si>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</si>
  <si>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</si>
  <si>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</si>
  <si>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</si>
  <si>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</si>
  <si>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</si>
  <si>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</si>
  <si>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</si>
  <si>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</si>
  <si>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</si>
  <si>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</si>
  <si>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</si>
  <si>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</si>
  <si>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</si>
  <si>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</si>
  <si>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</si>
  <si>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</si>
  <si>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</si>
  <si>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</si>
  <si>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</si>
  <si>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</si>
  <si>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</si>
  <si>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</si>
  <si>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</si>
  <si>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</si>
  <si>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</si>
  <si>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</si>
  <si>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</si>
  <si>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</si>
  <si>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</si>
  <si>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</si>
  <si>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</si>
  <si>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</si>
  <si>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</si>
  <si>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</si>
  <si>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</si>
  <si>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</si>
  <si>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</si>
  <si>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</si>
  <si>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</si>
  <si>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</si>
  <si>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</si>
  <si>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</si>
  <si>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</si>
  <si>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</si>
  <si>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</si>
  <si>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</si>
  <si>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</si>
  <si>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</si>
  <si>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</si>
  <si>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</si>
  <si>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</si>
  <si>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</si>
  <si>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</si>
  <si>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</si>
  <si>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</si>
  <si>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
  </si>
  <si>
    <t>Funsur</t>
  </si>
  <si>
    <t>CFSI</t>
  </si>
  <si>
    <t>Penang</t>
  </si>
  <si>
    <t>Taboca</t>
  </si>
  <si>
    <t>BOLIVIA</t>
  </si>
  <si>
    <t>Cercado</t>
  </si>
  <si>
    <t>PT Bangka Putra Karya</t>
  </si>
  <si>
    <t>CID001412</t>
  </si>
  <si>
    <t>Rondonia</t>
  </si>
  <si>
    <t>Yunnan Chengfeng Non-ferrous Metals Co.,Ltd.</t>
  </si>
  <si>
    <t>Geiju</t>
  </si>
  <si>
    <t>Yunnan</t>
  </si>
  <si>
    <t>Kepulauan</t>
  </si>
  <si>
    <t>Bangka</t>
  </si>
  <si>
    <t>Thailand Smelting &amp; Refining Co., Ltd</t>
  </si>
  <si>
    <t>Mentok Smelter (PT Timah)</t>
  </si>
  <si>
    <t>PT Timah (Persero), Tbk</t>
  </si>
  <si>
    <t>Indonesia State Tin Corporation, MentokSmelter</t>
  </si>
  <si>
    <t>Liuzhou China Tin</t>
  </si>
  <si>
    <t>Smelting Branch of Yunnan Tin Company Limited</t>
  </si>
  <si>
    <t>2IDN006</t>
  </si>
  <si>
    <t>Enter smelter details</t>
  </si>
  <si>
    <t>CV DS Jaya Abadi</t>
  </si>
  <si>
    <t>Gejiu Non-Ferrous Metal Processing Co. Ltd.</t>
  </si>
  <si>
    <t>Gold Bell Group</t>
  </si>
  <si>
    <t>2CHN013</t>
  </si>
  <si>
    <t>Novosibirsk Integrated Tin Works</t>
  </si>
  <si>
    <t>CID001305</t>
  </si>
  <si>
    <t>PT BilliTin Makmur Lestari</t>
  </si>
  <si>
    <t>2IDN031</t>
  </si>
  <si>
    <t>PT Eunindo Usaha Mandiri</t>
  </si>
  <si>
    <t>CID001438</t>
  </si>
  <si>
    <t>PT HP Metals Indonesia</t>
  </si>
  <si>
    <t>2IDN035</t>
  </si>
  <si>
    <t>Minmetals Ganzhou Tin Co. Ltd.</t>
  </si>
  <si>
    <t>CID001179</t>
  </si>
  <si>
    <t>Riau Islands</t>
  </si>
  <si>
    <t>Shandong Zhaojin Gold &amp; Silver Refinery Co. Ltd</t>
  </si>
  <si>
    <t>UNITED STATES</t>
  </si>
  <si>
    <t>Argor-Heraeus SA</t>
  </si>
  <si>
    <t>Henan</t>
  </si>
  <si>
    <t>Shandong Gold Mining (Laizhou)</t>
  </si>
  <si>
    <t>The Refinery of Shandong Gold Mining Co. Ltd</t>
  </si>
  <si>
    <t>Hong Kong</t>
  </si>
  <si>
    <t>Western Australian Mint trading as The Perth Mint</t>
  </si>
  <si>
    <t>Kansai</t>
  </si>
  <si>
    <t>Ulsan</t>
  </si>
  <si>
    <t>Metalor Technologies (Hong Kong) Ltd</t>
  </si>
  <si>
    <t>Johnson Matthey (Salt Lake City)</t>
  </si>
  <si>
    <t>Johnson Matthey Inc</t>
  </si>
  <si>
    <t>Asahi Pretec Corporation</t>
  </si>
  <si>
    <t>Yantai</t>
  </si>
  <si>
    <t>Manila</t>
  </si>
  <si>
    <t>Jiangxi Copper Company Limited</t>
  </si>
  <si>
    <t>Jiangxi</t>
  </si>
  <si>
    <t>Vincent Associates</t>
  </si>
  <si>
    <t>803 Linden Avenue      Rochester, NY 14625</t>
  </si>
  <si>
    <t>Steven Inman</t>
  </si>
  <si>
    <t>sinman@uniblitz.com</t>
  </si>
  <si>
    <t>(585) 385-5930 x122</t>
  </si>
  <si>
    <t>Stephen Pasquarella</t>
  </si>
  <si>
    <t>President</t>
  </si>
  <si>
    <t>spasq@uniblitz.com</t>
  </si>
  <si>
    <t>www.uniblitz.com</t>
  </si>
  <si>
    <t>(585) 385-5930 x 122</t>
  </si>
  <si>
    <t xml:space="preserve">Warren </t>
  </si>
  <si>
    <t>Changsha South Tantalum Niobium Co., Ltd</t>
  </si>
  <si>
    <t>CID 002504</t>
  </si>
  <si>
    <t>CID01076</t>
  </si>
  <si>
    <t>Sao Joao del Rei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</si>
</sst>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42" xfId="0" applyBorder="1" applyAlignment="1" applyProtection="1">
      <alignment horizontal="left" vertical="center"/>
      <protection locked="0"/>
    </xf>
    <xf numFmtId="0" fontId="0" fillId="0" borderId="42" xfId="0" applyBorder="1" applyAlignment="1" applyProtection="1">
      <alignment horizontal="left" vertical="center"/>
      <protection locked="0" hidden="1"/>
    </xf>
    <xf numFmtId="0" fontId="0" fillId="2" borderId="47" xfId="0" applyFill="1" applyBorder="1" applyAlignment="1" applyProtection="1">
      <alignment horizontal="left" vertical="center"/>
      <protection locked="0" hidden="1"/>
    </xf>
    <xf numFmtId="0" fontId="0" fillId="2" borderId="33" xfId="0" applyFill="1" applyBorder="1" applyAlignment="1" applyProtection="1">
      <alignment horizontal="left" vertical="center"/>
      <protection locked="0" hidden="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03" fillId="0" borderId="66" xfId="0" applyFont="1" applyBorder="1" applyAlignment="1" applyProtection="1">
      <alignment horizontal="left"/>
      <protection locked="0"/>
    </xf>
    <xf numFmtId="0" fontId="103" fillId="0" borderId="67" xfId="0" applyFont="1" applyBorder="1" applyAlignment="1" applyProtection="1">
      <alignment horizontal="left"/>
      <protection locked="0"/>
    </xf>
    <xf numFmtId="0" fontId="103" fillId="0" borderId="68" xfId="0"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9">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indexed="13"/>
        </patternFill>
      </fill>
    </dxf>
    <dxf>
      <font>
        <condense val="0"/>
        <extend val="0"/>
        <color auto="1"/>
      </font>
      <fill>
        <patternFill>
          <bgColor indexed="10"/>
        </patternFill>
      </fill>
    </dxf>
    <dxf>
      <fill>
        <patternFill>
          <bgColor indexed="13"/>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uniblitz.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54"/>
      <c r="B2" s="38" t="s">
        <v>963</v>
      </c>
      <c r="C2" s="36"/>
      <c r="D2" s="207"/>
      <c r="E2" s="3"/>
      <c r="F2" s="36"/>
      <c r="G2" s="34"/>
    </row>
    <row r="3" spans="1:7">
      <c r="A3" s="354"/>
      <c r="B3" s="5" t="s">
        <v>952</v>
      </c>
      <c r="C3" s="6"/>
      <c r="D3" s="208"/>
      <c r="E3" s="3"/>
      <c r="F3" s="6"/>
      <c r="G3" s="34"/>
    </row>
    <row r="4" spans="1:7" ht="15">
      <c r="A4" s="354"/>
      <c r="B4" s="41" t="s">
        <v>965</v>
      </c>
      <c r="C4" s="7"/>
      <c r="D4" s="209"/>
      <c r="E4" s="3"/>
      <c r="F4" s="7"/>
      <c r="G4" s="34"/>
    </row>
    <row r="5" spans="1:7">
      <c r="A5" s="354"/>
      <c r="B5" s="40" t="s">
        <v>1157</v>
      </c>
      <c r="C5" s="4"/>
      <c r="D5" s="210"/>
      <c r="E5" s="3"/>
      <c r="F5" s="4"/>
      <c r="G5" s="34"/>
    </row>
    <row r="6" spans="1:7">
      <c r="A6" s="354"/>
      <c r="B6" s="8"/>
      <c r="C6" s="8"/>
      <c r="D6" s="211"/>
      <c r="E6" s="8"/>
      <c r="F6" s="8"/>
      <c r="G6" s="34"/>
    </row>
    <row r="7" spans="1:7">
      <c r="A7" s="354"/>
      <c r="B7" s="8"/>
      <c r="C7" s="8"/>
      <c r="D7" s="211"/>
      <c r="E7" s="8"/>
      <c r="F7" s="8"/>
      <c r="G7" s="34"/>
    </row>
    <row r="8" spans="1:7">
      <c r="A8" s="354"/>
      <c r="B8" s="8"/>
      <c r="C8" s="8"/>
      <c r="D8" s="211"/>
      <c r="E8" s="8"/>
      <c r="F8" s="8"/>
      <c r="G8" s="34"/>
    </row>
    <row r="9" spans="1:7">
      <c r="A9" s="354"/>
      <c r="B9" s="357" t="s">
        <v>966</v>
      </c>
      <c r="C9" s="357"/>
      <c r="D9" s="357"/>
      <c r="E9" s="357"/>
      <c r="F9" s="357"/>
      <c r="G9" s="34"/>
    </row>
    <row r="10" spans="1:7" ht="27" customHeight="1">
      <c r="A10" s="354"/>
      <c r="B10" s="358" t="s">
        <v>506</v>
      </c>
      <c r="C10" s="358"/>
      <c r="D10" s="358"/>
      <c r="E10" s="358"/>
      <c r="F10" s="358"/>
      <c r="G10" s="34"/>
    </row>
    <row r="11" spans="1:7" ht="27" customHeight="1">
      <c r="A11" s="354"/>
      <c r="B11" s="359"/>
      <c r="C11" s="359"/>
      <c r="D11" s="359"/>
      <c r="E11" s="359"/>
      <c r="F11" s="359"/>
      <c r="G11" s="34"/>
    </row>
    <row r="12" spans="1:7">
      <c r="A12" s="354"/>
      <c r="B12" s="42" t="s">
        <v>964</v>
      </c>
      <c r="C12" s="43" t="s">
        <v>967</v>
      </c>
      <c r="D12" s="212" t="s">
        <v>968</v>
      </c>
      <c r="E12" s="43" t="s">
        <v>701</v>
      </c>
      <c r="F12" s="43" t="s">
        <v>702</v>
      </c>
      <c r="G12" s="34"/>
    </row>
    <row r="13" spans="1:7" ht="20">
      <c r="A13" s="354"/>
      <c r="B13" s="2">
        <v>1</v>
      </c>
      <c r="C13" s="37" t="s">
        <v>1208</v>
      </c>
      <c r="D13" s="39" t="s">
        <v>992</v>
      </c>
      <c r="E13" s="196" t="s">
        <v>969</v>
      </c>
      <c r="F13" s="196"/>
      <c r="G13" s="34"/>
    </row>
    <row r="14" spans="1:7" ht="30">
      <c r="A14" s="354"/>
      <c r="B14" s="2">
        <v>2</v>
      </c>
      <c r="C14" s="37" t="s">
        <v>1208</v>
      </c>
      <c r="D14" s="39" t="s">
        <v>1142</v>
      </c>
      <c r="E14" s="196" t="s">
        <v>602</v>
      </c>
      <c r="F14" s="196" t="s">
        <v>603</v>
      </c>
      <c r="G14" s="34"/>
    </row>
    <row r="15" spans="1:7" ht="89.15" customHeight="1">
      <c r="A15" s="354"/>
      <c r="B15" s="360">
        <v>2.0099999999999998</v>
      </c>
      <c r="C15" s="351" t="s">
        <v>1208</v>
      </c>
      <c r="D15" s="363" t="s">
        <v>2686</v>
      </c>
      <c r="E15" s="197" t="s">
        <v>703</v>
      </c>
      <c r="F15" s="197" t="s">
        <v>706</v>
      </c>
      <c r="G15" s="34"/>
    </row>
    <row r="16" spans="1:7" ht="99" customHeight="1">
      <c r="A16" s="354"/>
      <c r="B16" s="361"/>
      <c r="C16" s="352"/>
      <c r="D16" s="364"/>
      <c r="E16" s="198"/>
      <c r="F16" s="198" t="s">
        <v>704</v>
      </c>
      <c r="G16" s="34"/>
    </row>
    <row r="17" spans="1:7" ht="63" customHeight="1">
      <c r="A17" s="354"/>
      <c r="B17" s="362"/>
      <c r="C17" s="353"/>
      <c r="D17" s="365"/>
      <c r="E17" s="37"/>
      <c r="F17" s="37" t="s">
        <v>705</v>
      </c>
      <c r="G17" s="34"/>
    </row>
    <row r="18" spans="1:7" ht="117" customHeight="1">
      <c r="A18" s="354"/>
      <c r="B18" s="360">
        <v>2.02</v>
      </c>
      <c r="C18" s="351" t="s">
        <v>1208</v>
      </c>
      <c r="D18" s="363" t="s">
        <v>2687</v>
      </c>
      <c r="E18" s="197" t="s">
        <v>507</v>
      </c>
      <c r="F18" s="197" t="s">
        <v>596</v>
      </c>
      <c r="G18" s="34"/>
    </row>
    <row r="19" spans="1:7" ht="71.150000000000006" customHeight="1">
      <c r="A19" s="354"/>
      <c r="B19" s="361"/>
      <c r="C19" s="352"/>
      <c r="D19" s="364"/>
      <c r="E19" s="198" t="s">
        <v>601</v>
      </c>
      <c r="F19" s="198" t="s">
        <v>508</v>
      </c>
      <c r="G19" s="34"/>
    </row>
    <row r="20" spans="1:7" ht="90.75" customHeight="1">
      <c r="A20" s="354"/>
      <c r="B20" s="361"/>
      <c r="C20" s="352"/>
      <c r="D20" s="364"/>
      <c r="E20" s="198"/>
      <c r="F20" s="198" t="s">
        <v>708</v>
      </c>
      <c r="G20" s="34"/>
    </row>
    <row r="21" spans="1:7" ht="74.25" customHeight="1">
      <c r="A21" s="354"/>
      <c r="B21" s="362"/>
      <c r="C21" s="353"/>
      <c r="D21" s="365"/>
      <c r="E21" s="37"/>
      <c r="F21" s="37" t="s">
        <v>707</v>
      </c>
      <c r="G21" s="34"/>
    </row>
    <row r="22" spans="1:7" ht="90" customHeight="1">
      <c r="A22" s="354"/>
      <c r="B22" s="369">
        <v>2.0299999999999998</v>
      </c>
      <c r="C22" s="369" t="s">
        <v>935</v>
      </c>
      <c r="D22" s="372" t="s">
        <v>2688</v>
      </c>
      <c r="E22" s="351" t="s">
        <v>505</v>
      </c>
      <c r="F22" s="197" t="s">
        <v>529</v>
      </c>
      <c r="G22" s="34"/>
    </row>
    <row r="23" spans="1:7" ht="109.5" customHeight="1">
      <c r="A23" s="354"/>
      <c r="B23" s="370"/>
      <c r="C23" s="370"/>
      <c r="D23" s="373"/>
      <c r="E23" s="352"/>
      <c r="F23" s="198" t="s">
        <v>936</v>
      </c>
      <c r="G23" s="34"/>
    </row>
    <row r="24" spans="1:7" ht="74.25" customHeight="1">
      <c r="A24" s="354"/>
      <c r="B24" s="371"/>
      <c r="C24" s="371"/>
      <c r="D24" s="374"/>
      <c r="E24" s="353"/>
      <c r="F24" s="37" t="s">
        <v>504</v>
      </c>
      <c r="G24" s="34"/>
    </row>
    <row r="25" spans="1:7" ht="72" customHeight="1">
      <c r="A25" s="354"/>
      <c r="B25" s="2" t="s">
        <v>527</v>
      </c>
      <c r="C25" s="37" t="s">
        <v>528</v>
      </c>
      <c r="D25" s="39" t="s">
        <v>2689</v>
      </c>
      <c r="E25" s="37" t="s">
        <v>2682</v>
      </c>
      <c r="F25" s="37" t="s">
        <v>530</v>
      </c>
      <c r="G25" s="34"/>
    </row>
    <row r="26" spans="1:7" ht="98.15" customHeight="1">
      <c r="A26" s="354"/>
      <c r="B26" s="366">
        <v>3</v>
      </c>
      <c r="C26" s="360" t="s">
        <v>74</v>
      </c>
      <c r="D26" s="363" t="s">
        <v>2690</v>
      </c>
      <c r="E26" s="351" t="s">
        <v>0</v>
      </c>
      <c r="F26" s="197" t="s">
        <v>68</v>
      </c>
      <c r="G26" s="34"/>
    </row>
    <row r="27" spans="1:7" ht="90" customHeight="1">
      <c r="A27" s="354"/>
      <c r="B27" s="367"/>
      <c r="C27" s="361"/>
      <c r="D27" s="364"/>
      <c r="E27" s="352"/>
      <c r="F27" s="198" t="s">
        <v>63</v>
      </c>
      <c r="G27" s="34"/>
    </row>
    <row r="28" spans="1:7" ht="19.399999999999999" customHeight="1">
      <c r="A28" s="354"/>
      <c r="B28" s="367"/>
      <c r="C28" s="361"/>
      <c r="D28" s="364"/>
      <c r="E28" s="352"/>
      <c r="F28" s="198" t="s">
        <v>64</v>
      </c>
      <c r="G28" s="34"/>
    </row>
    <row r="29" spans="1:7" ht="74.5" customHeight="1">
      <c r="A29" s="354"/>
      <c r="B29" s="367"/>
      <c r="C29" s="361"/>
      <c r="D29" s="364"/>
      <c r="E29" s="352"/>
      <c r="F29" s="198" t="s">
        <v>65</v>
      </c>
      <c r="G29" s="34"/>
    </row>
    <row r="30" spans="1:7" ht="62.5" customHeight="1">
      <c r="A30" s="354"/>
      <c r="B30" s="367"/>
      <c r="C30" s="361"/>
      <c r="D30" s="364"/>
      <c r="E30" s="352"/>
      <c r="F30" s="198" t="s">
        <v>66</v>
      </c>
      <c r="G30" s="34"/>
    </row>
    <row r="31" spans="1:7" ht="81" customHeight="1">
      <c r="A31" s="354"/>
      <c r="B31" s="367"/>
      <c r="C31" s="361"/>
      <c r="D31" s="364"/>
      <c r="E31" s="352"/>
      <c r="F31" s="198" t="s">
        <v>67</v>
      </c>
      <c r="G31" s="34"/>
    </row>
    <row r="32" spans="1:7" ht="48.75" customHeight="1">
      <c r="A32" s="354"/>
      <c r="B32" s="367"/>
      <c r="C32" s="361"/>
      <c r="D32" s="364"/>
      <c r="E32" s="352"/>
      <c r="F32" s="198" t="s">
        <v>70</v>
      </c>
      <c r="G32" s="34"/>
    </row>
    <row r="33" spans="1:7" ht="98.5" customHeight="1">
      <c r="A33" s="354"/>
      <c r="B33" s="367"/>
      <c r="C33" s="361"/>
      <c r="D33" s="364"/>
      <c r="E33" s="352"/>
      <c r="F33" s="198" t="s">
        <v>69</v>
      </c>
      <c r="G33" s="34"/>
    </row>
    <row r="34" spans="1:7" ht="89.15" customHeight="1">
      <c r="A34" s="354"/>
      <c r="B34" s="367"/>
      <c r="C34" s="361"/>
      <c r="D34" s="364"/>
      <c r="E34" s="352"/>
      <c r="F34" s="198" t="s">
        <v>71</v>
      </c>
      <c r="G34" s="34"/>
    </row>
    <row r="35" spans="1:7" ht="29.15" customHeight="1">
      <c r="A35" s="354"/>
      <c r="B35" s="367"/>
      <c r="C35" s="361"/>
      <c r="D35" s="364"/>
      <c r="E35" s="352"/>
      <c r="F35" s="198" t="s">
        <v>72</v>
      </c>
      <c r="G35" s="34"/>
    </row>
    <row r="36" spans="1:7" ht="111">
      <c r="A36" s="354"/>
      <c r="B36" s="368"/>
      <c r="C36" s="362"/>
      <c r="D36" s="365"/>
      <c r="E36" s="353"/>
      <c r="F36" s="199" t="s">
        <v>73</v>
      </c>
      <c r="G36" s="34"/>
    </row>
    <row r="37" spans="1:7" ht="100">
      <c r="A37" s="354"/>
      <c r="B37" s="175">
        <v>3.01</v>
      </c>
      <c r="C37" s="176" t="s">
        <v>74</v>
      </c>
      <c r="D37" s="39" t="s">
        <v>2691</v>
      </c>
      <c r="E37" s="200" t="s">
        <v>1458</v>
      </c>
      <c r="F37" s="201" t="s">
        <v>1577</v>
      </c>
      <c r="G37" s="34"/>
    </row>
    <row r="38" spans="1:7" ht="90">
      <c r="A38" s="354"/>
      <c r="B38" s="175">
        <v>3.02</v>
      </c>
      <c r="C38" s="176" t="s">
        <v>1492</v>
      </c>
      <c r="D38" s="39" t="s">
        <v>2692</v>
      </c>
      <c r="E38" s="200" t="s">
        <v>1507</v>
      </c>
      <c r="F38" s="201" t="s">
        <v>1578</v>
      </c>
      <c r="G38" s="34"/>
    </row>
    <row r="39" spans="1:7" ht="80">
      <c r="A39" s="354"/>
      <c r="B39" s="184">
        <v>4</v>
      </c>
      <c r="C39" s="183" t="s">
        <v>1757</v>
      </c>
      <c r="D39" s="39" t="s">
        <v>2693</v>
      </c>
      <c r="E39" s="37" t="s">
        <v>2625</v>
      </c>
      <c r="F39" s="37" t="s">
        <v>1758</v>
      </c>
      <c r="G39" s="34"/>
    </row>
    <row r="40" spans="1:7" ht="50">
      <c r="A40" s="354"/>
      <c r="B40" s="175">
        <v>4.01</v>
      </c>
      <c r="C40" s="183" t="s">
        <v>1757</v>
      </c>
      <c r="D40" s="39" t="s">
        <v>2695</v>
      </c>
      <c r="E40" s="37" t="s">
        <v>2644</v>
      </c>
      <c r="F40" s="37" t="s">
        <v>2649</v>
      </c>
      <c r="G40" s="34"/>
    </row>
    <row r="41" spans="1:7" ht="50">
      <c r="A41" s="354"/>
      <c r="B41" s="175" t="s">
        <v>2680</v>
      </c>
      <c r="C41" s="183" t="s">
        <v>1757</v>
      </c>
      <c r="D41" s="39" t="s">
        <v>2694</v>
      </c>
      <c r="E41" s="37" t="s">
        <v>2683</v>
      </c>
      <c r="F41" s="37" t="s">
        <v>2681</v>
      </c>
      <c r="G41" s="34"/>
    </row>
    <row r="42" spans="1:7" ht="50">
      <c r="A42" s="354"/>
      <c r="B42" s="175" t="s">
        <v>2732</v>
      </c>
      <c r="C42" s="183" t="s">
        <v>1757</v>
      </c>
      <c r="D42" s="39" t="s">
        <v>2903</v>
      </c>
      <c r="E42" s="37" t="s">
        <v>2682</v>
      </c>
      <c r="F42" s="37" t="s">
        <v>2733</v>
      </c>
      <c r="G42" s="34"/>
    </row>
    <row r="43" spans="1:7" ht="110">
      <c r="A43" s="354"/>
      <c r="B43" s="193">
        <v>4.0999999999999996</v>
      </c>
      <c r="C43" s="183" t="s">
        <v>2902</v>
      </c>
      <c r="D43" s="194">
        <v>42867</v>
      </c>
      <c r="E43" s="202" t="s">
        <v>2905</v>
      </c>
      <c r="F43" s="37" t="s">
        <v>2904</v>
      </c>
      <c r="G43" s="34"/>
    </row>
    <row r="44" spans="1:7" ht="70">
      <c r="A44" s="354"/>
      <c r="B44" s="193">
        <v>4.2</v>
      </c>
      <c r="C44" s="183" t="s">
        <v>2902</v>
      </c>
      <c r="D44" s="194">
        <v>42704</v>
      </c>
      <c r="E44" s="202" t="s">
        <v>3155</v>
      </c>
      <c r="F44" s="37" t="s">
        <v>3120</v>
      </c>
      <c r="G44" s="34"/>
    </row>
    <row r="45" spans="1:7" ht="130">
      <c r="A45" s="354"/>
      <c r="B45" s="241">
        <v>5</v>
      </c>
      <c r="C45" s="183" t="s">
        <v>2902</v>
      </c>
      <c r="D45" s="194">
        <v>42867</v>
      </c>
      <c r="E45" s="202" t="s">
        <v>13730</v>
      </c>
      <c r="F45" s="37" t="s">
        <v>13315</v>
      </c>
      <c r="G45" s="34"/>
    </row>
    <row r="46" spans="1:7" ht="30">
      <c r="A46" s="354"/>
      <c r="B46" s="193">
        <v>5.01</v>
      </c>
      <c r="C46" s="183" t="s">
        <v>2902</v>
      </c>
      <c r="D46" s="194">
        <v>42907</v>
      </c>
      <c r="E46" s="202" t="s">
        <v>13786</v>
      </c>
      <c r="F46" s="37" t="s">
        <v>13315</v>
      </c>
      <c r="G46" s="34"/>
    </row>
    <row r="47" spans="1:7" ht="60">
      <c r="A47" s="354"/>
      <c r="B47" s="193">
        <v>5.0999999999999996</v>
      </c>
      <c r="C47" s="183" t="s">
        <v>2902</v>
      </c>
      <c r="D47" s="194">
        <v>43070</v>
      </c>
      <c r="E47" s="202" t="s">
        <v>13985</v>
      </c>
      <c r="F47" s="37" t="s">
        <v>13986</v>
      </c>
      <c r="G47" s="34"/>
    </row>
    <row r="48" spans="1:7" ht="50">
      <c r="A48" s="354"/>
      <c r="B48" s="193">
        <v>5.1100000000000003</v>
      </c>
      <c r="C48" s="183" t="s">
        <v>14260</v>
      </c>
      <c r="D48" s="194">
        <v>43217</v>
      </c>
      <c r="E48" s="202" t="s">
        <v>14404</v>
      </c>
      <c r="F48" s="37" t="s">
        <v>14299</v>
      </c>
      <c r="G48" s="34"/>
    </row>
    <row r="49" spans="1:7" ht="50">
      <c r="A49" s="354"/>
      <c r="B49" s="193">
        <v>5.12</v>
      </c>
      <c r="C49" s="183" t="s">
        <v>14260</v>
      </c>
      <c r="D49" s="194">
        <v>43581</v>
      </c>
      <c r="E49" s="202" t="s">
        <v>14404</v>
      </c>
      <c r="F49" s="37" t="s">
        <v>15467</v>
      </c>
      <c r="G49" s="34"/>
    </row>
    <row r="50" spans="1:7" ht="14" thickBot="1">
      <c r="A50" s="355"/>
      <c r="B50" s="356" t="str">
        <f ca="1">OFFSET(L!$C$1,MATCH("General"&amp;"Cpy",L!$A:$A,0)-1,SL,,)</f>
        <v>© 2019 Responsible Minerals Initiative. All rights reserved.</v>
      </c>
      <c r="C50" s="356"/>
      <c r="D50" s="356"/>
      <c r="E50" s="356"/>
      <c r="F50" s="356"/>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4375" defaultRowHeight="13.5"/>
  <cols>
    <col min="1" max="1" width="11.15234375" customWidth="1"/>
    <col min="2" max="2" width="25.7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75"/>
      <c r="B1" s="376"/>
      <c r="C1" s="376"/>
      <c r="D1" s="377"/>
    </row>
    <row r="2" spans="1:5" ht="71.25" customHeight="1">
      <c r="A2" s="90"/>
      <c r="B2" s="171" t="str">
        <f ca="1">OFFSET(L!$C$1,MATCH("Definitions"&amp;ADDRESS(ROW(),COLUMN(),4),L!$A:$A,0)-1,SL,,)</f>
        <v>ITEM</v>
      </c>
      <c r="C2" s="171" t="str">
        <f ca="1">OFFSET(L!$C$1,MATCH("Definitions"&amp;ADDRESS(ROW(),COLUMN(),4),L!$A:$A,0)-1,SL,,)</f>
        <v>DEFINITION</v>
      </c>
      <c r="D2" s="379"/>
      <c r="E2" s="131"/>
    </row>
    <row r="3" spans="1:5" ht="64" customHeight="1">
      <c r="A3" s="90"/>
      <c r="B3" s="77" t="str">
        <f ca="1">OFFSET(L!$C$1,MATCH("Definitions"&amp;ADDRESS(ROW(),COLUMN(),4),L!$A:$A,0)-1,SL,,)</f>
        <v>3TG</v>
      </c>
      <c r="C3" s="77" t="str">
        <f ca="1">OFFSET(L!$C$1,MATCH("Definitions"&amp;ADDRESS(ROW(),COLUMN(),4),L!$A:$A,0)-1,SL,,)</f>
        <v>Tantalum, tin, tungsten, gold</v>
      </c>
      <c r="D3" s="379"/>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9"/>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9"/>
      <c r="E5" s="132" t="s">
        <v>1443</v>
      </c>
    </row>
    <row r="6" spans="1:5" ht="60">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9"/>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9"/>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9"/>
      <c r="E8" s="132" t="s">
        <v>1443</v>
      </c>
    </row>
    <row r="9" spans="1:5" ht="45">
      <c r="A9" s="90"/>
      <c r="B9" s="77" t="str">
        <f ca="1">OFFSET(L!$C$1,MATCH("Definitions"&amp;ADDRESS(ROW(),COLUMN(),4),L!$A:$A,0)-1,SL,,)</f>
        <v>DRC</v>
      </c>
      <c r="C9" s="77" t="str">
        <f ca="1">OFFSET(L!$C$1,MATCH("Definitions"&amp;ADDRESS(ROW(),COLUMN(),4),L!$A:$A,0)-1,SL,,)</f>
        <v>Democratic Republic of Congo</v>
      </c>
      <c r="D9" s="379"/>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9"/>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9"/>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9"/>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9"/>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9"/>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9"/>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9"/>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9"/>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9"/>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9"/>
      <c r="E19" s="132"/>
    </row>
    <row r="20" spans="1:5" ht="15">
      <c r="A20" s="90"/>
      <c r="B20" s="77" t="str">
        <f ca="1">OFFSET(L!$C$1,MATCH("Definitions"&amp;ADDRESS(ROW(),COLUMN(),4),L!$A:$A,0)-1,SL,,)</f>
        <v>RBA</v>
      </c>
      <c r="C20" s="77" t="str">
        <f ca="1">OFFSET(L!$C$1,MATCH("Definitions"&amp;ADDRESS(ROW(),COLUMN(),4),L!$A:$A,0)-1,SL,,)</f>
        <v>Responsible Business Alliance (www.responsiblebusiness.org)</v>
      </c>
      <c r="D20" s="379"/>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9"/>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9"/>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9"/>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9"/>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9"/>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9"/>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9"/>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9"/>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9"/>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9"/>
      <c r="E30" s="132"/>
    </row>
    <row r="31" spans="1:5" ht="15">
      <c r="A31" s="90"/>
      <c r="B31" s="378" t="str">
        <f ca="1">OFFSET(L!$C$1,MATCH("General"&amp;"Cpy",L!$A:$A,0)-1,SL,,)</f>
        <v>© 2019 Responsible Minerals Initiative. All rights reserved.</v>
      </c>
      <c r="C31" s="378"/>
      <c r="D31" s="379"/>
      <c r="E31" s="132"/>
    </row>
    <row r="32" spans="1:5" ht="14" thickBot="1">
      <c r="A32" s="91"/>
      <c r="B32" s="187"/>
      <c r="C32" s="187"/>
      <c r="D32" s="380"/>
    </row>
    <row r="33" ht="14"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A79" zoomScaleNormal="100" zoomScalePageLayoutView="70" workbookViewId="0">
      <selection activeCell="D56" sqref="D56:E5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413"/>
      <c r="B1" s="414"/>
      <c r="C1" s="414"/>
      <c r="D1" s="414"/>
      <c r="E1" s="414"/>
      <c r="F1" s="414"/>
      <c r="G1" s="414"/>
      <c r="H1" s="414"/>
      <c r="I1" s="414"/>
      <c r="J1" s="414"/>
      <c r="K1" s="415"/>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416" t="str">
        <f ca="1">OFFSET(L!$C$1,MATCH("Declaration"&amp;ADDRESS(ROW(),COLUMN(),4),L!$A:$A,0)-1,SL,,)</f>
        <v>Conflict Minerals Reporting Template (CMRT)</v>
      </c>
      <c r="E2" s="417"/>
      <c r="F2" s="417"/>
      <c r="G2" s="417"/>
      <c r="H2" s="417"/>
      <c r="I2" s="417"/>
      <c r="J2" s="418"/>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7"/>
      <c r="G3" s="427"/>
      <c r="H3" s="427"/>
      <c r="I3" s="186"/>
      <c r="J3" s="172" t="s">
        <v>15472</v>
      </c>
      <c r="K3" s="47"/>
      <c r="L3" s="143"/>
      <c r="M3" s="134"/>
      <c r="N3" s="134"/>
      <c r="O3" s="135"/>
      <c r="P3" s="148">
        <f>MATCH($D$3,LN,0)</f>
        <v>1</v>
      </c>
    </row>
    <row r="4" spans="1:34" ht="1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8" t="str">
        <f ca="1">OFFSET(L!$C$1,MATCH("Declaration"&amp;ADDRESS(ROW(),COLUMN(),4),L!$A:$A,0)-1,SL,,)</f>
        <v>Link to Terms &amp; Conditions</v>
      </c>
      <c r="J4" s="428"/>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32" t="str">
        <f ca="1">OFFSET(L!$C$1,MATCH("Declaration"&amp;ADDRESS(ROW(),COLUMN(),4),L!$A:$A,0)-1,SL,,)</f>
        <v>Company Information</v>
      </c>
      <c r="C7" s="432"/>
      <c r="D7" s="432"/>
      <c r="E7" s="432"/>
      <c r="F7" s="432"/>
      <c r="G7" s="432"/>
      <c r="H7" s="432"/>
      <c r="I7" s="432"/>
      <c r="J7" s="432"/>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19" t="s">
        <v>15550</v>
      </c>
      <c r="E8" s="420"/>
      <c r="F8" s="420"/>
      <c r="G8" s="420"/>
      <c r="H8" s="420"/>
      <c r="I8" s="420"/>
      <c r="J8" s="421"/>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29" t="s">
        <v>564</v>
      </c>
      <c r="E9" s="430"/>
      <c r="F9" s="430"/>
      <c r="G9" s="431"/>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33" t="str">
        <f ca="1">OFFSET(L!$C$1,MATCH("Declaration"&amp;ADDRESS(ROW(),COLUMN(),4)&amp;LEFT($D$9,1),L!$A:$A,0)-1,SL,,)</f>
        <v>Description of Scope:</v>
      </c>
      <c r="C10" s="155"/>
      <c r="D10" s="423"/>
      <c r="E10" s="424"/>
      <c r="F10" s="424"/>
      <c r="G10" s="424"/>
      <c r="H10" s="424"/>
      <c r="I10" s="424"/>
      <c r="J10" s="425"/>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34"/>
      <c r="C11" s="155"/>
      <c r="D11" s="396" t="str">
        <f ca="1">IF(D9=Q9,OFFSET(L!$C$1,MATCH("Declaration"&amp;ADDRESS(ROW(),COLUMN(),4),L!$A:$A,0)-1,SL,,),"")</f>
        <v/>
      </c>
      <c r="E11" s="397"/>
      <c r="F11" s="397"/>
      <c r="G11" s="397"/>
      <c r="H11" s="397"/>
      <c r="I11" s="397"/>
      <c r="J11" s="398"/>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405"/>
      <c r="E12" s="406"/>
      <c r="F12" s="406"/>
      <c r="G12" s="406"/>
      <c r="H12" s="406"/>
      <c r="I12" s="406"/>
      <c r="J12" s="40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405"/>
      <c r="E13" s="406"/>
      <c r="F13" s="406"/>
      <c r="G13" s="406"/>
      <c r="H13" s="406"/>
      <c r="I13" s="406"/>
      <c r="J13" s="40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381" t="s">
        <v>15551</v>
      </c>
      <c r="E14" s="426"/>
      <c r="F14" s="426"/>
      <c r="G14" s="426"/>
      <c r="H14" s="426"/>
      <c r="I14" s="426"/>
      <c r="J14" s="382"/>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390" t="s">
        <v>15552</v>
      </c>
      <c r="E15" s="408"/>
      <c r="F15" s="408"/>
      <c r="G15" s="408"/>
      <c r="H15" s="408"/>
      <c r="I15" s="408"/>
      <c r="J15" s="391"/>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390" t="s">
        <v>15553</v>
      </c>
      <c r="E16" s="408"/>
      <c r="F16" s="408"/>
      <c r="G16" s="408"/>
      <c r="H16" s="408"/>
      <c r="I16" s="408"/>
      <c r="J16" s="39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390" t="s">
        <v>15554</v>
      </c>
      <c r="E17" s="408"/>
      <c r="F17" s="408"/>
      <c r="G17" s="408"/>
      <c r="H17" s="408"/>
      <c r="I17" s="408"/>
      <c r="J17" s="391"/>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390" t="s">
        <v>15555</v>
      </c>
      <c r="E18" s="408"/>
      <c r="F18" s="408"/>
      <c r="G18" s="408"/>
      <c r="H18" s="408"/>
      <c r="I18" s="408"/>
      <c r="J18" s="391"/>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390" t="s">
        <v>15556</v>
      </c>
      <c r="E19" s="408"/>
      <c r="F19" s="408"/>
      <c r="G19" s="408"/>
      <c r="H19" s="408"/>
      <c r="I19" s="408"/>
      <c r="J19" s="391"/>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23" t="s">
        <v>15557</v>
      </c>
      <c r="E20" s="424"/>
      <c r="F20" s="424"/>
      <c r="G20" s="424"/>
      <c r="H20" s="424"/>
      <c r="I20" s="424"/>
      <c r="J20" s="425"/>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435" t="s">
        <v>15559</v>
      </c>
      <c r="E21" s="436"/>
      <c r="F21" s="436"/>
      <c r="G21" s="436"/>
      <c r="H21" s="436"/>
      <c r="I21" s="436"/>
      <c r="J21" s="43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438">
        <v>43863</v>
      </c>
      <c r="E22" s="43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09"/>
      <c r="E23" s="409"/>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440" t="str">
        <f ca="1">OFFSET(L!$C$1,MATCH("Declaration"&amp;ADDRESS(ROW(),COLUMN(),4),L!$A:$A,0)-1,SL,,)</f>
        <v>Answer the following questions 1 - 7 based on the declaration scope indicated above</v>
      </c>
      <c r="C24" s="440"/>
      <c r="D24" s="440"/>
      <c r="E24" s="440"/>
      <c r="F24" s="440"/>
      <c r="G24" s="440"/>
      <c r="H24" s="440"/>
      <c r="I24" s="440"/>
      <c r="J24" s="44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1" t="s">
        <v>558</v>
      </c>
      <c r="E26" s="382"/>
      <c r="F26" s="15"/>
      <c r="G26" s="383"/>
      <c r="H26" s="384"/>
      <c r="I26" s="384"/>
      <c r="J26" s="385"/>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1" t="s">
        <v>558</v>
      </c>
      <c r="E27" s="382"/>
      <c r="F27" s="15"/>
      <c r="G27" s="383"/>
      <c r="H27" s="384"/>
      <c r="I27" s="384"/>
      <c r="J27" s="385"/>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1" t="s">
        <v>558</v>
      </c>
      <c r="E28" s="382"/>
      <c r="F28" s="15"/>
      <c r="G28" s="383"/>
      <c r="H28" s="384"/>
      <c r="I28" s="384"/>
      <c r="J28" s="385"/>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81" t="s">
        <v>559</v>
      </c>
      <c r="E29" s="382"/>
      <c r="F29" s="15"/>
      <c r="G29" s="383"/>
      <c r="H29" s="384"/>
      <c r="I29" s="384"/>
      <c r="J29" s="385"/>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401" t="str">
        <f ca="1">D25</f>
        <v>Answer</v>
      </c>
      <c r="E31" s="401"/>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9" t="s">
        <v>558</v>
      </c>
      <c r="E32" s="400"/>
      <c r="F32" s="58"/>
      <c r="G32" s="383"/>
      <c r="H32" s="384"/>
      <c r="I32" s="384"/>
      <c r="J32" s="385"/>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1" t="s">
        <v>558</v>
      </c>
      <c r="E33" s="382"/>
      <c r="F33" s="58"/>
      <c r="G33" s="383"/>
      <c r="H33" s="384"/>
      <c r="I33" s="384"/>
      <c r="J33" s="385"/>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1" t="s">
        <v>558</v>
      </c>
      <c r="E34" s="382"/>
      <c r="F34" s="58"/>
      <c r="G34" s="383"/>
      <c r="H34" s="384"/>
      <c r="I34" s="384"/>
      <c r="J34" s="385"/>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81" t="s">
        <v>559</v>
      </c>
      <c r="E35" s="382"/>
      <c r="F35" s="58"/>
      <c r="G35" s="383"/>
      <c r="H35" s="384"/>
      <c r="I35" s="384"/>
      <c r="J35" s="385"/>
      <c r="K35" s="47"/>
      <c r="L35" s="146"/>
      <c r="M35" s="134"/>
      <c r="N35" s="134"/>
      <c r="O35" s="135"/>
      <c r="P35" s="148" t="str">
        <f>IF(D$35="No","","(*)")</f>
        <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1" t="str">
        <f ca="1">D25</f>
        <v>Answer</v>
      </c>
      <c r="E37" s="401"/>
      <c r="F37" s="21"/>
      <c r="G37" s="55" t="str">
        <f ca="1">G25</f>
        <v>Comments</v>
      </c>
      <c r="H37" s="404"/>
      <c r="I37" s="404"/>
      <c r="J37" s="404"/>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1" t="s">
        <v>559</v>
      </c>
      <c r="E38" s="382"/>
      <c r="F38" s="58"/>
      <c r="G38" s="383"/>
      <c r="H38" s="384"/>
      <c r="I38" s="384"/>
      <c r="J38" s="385"/>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1" t="s">
        <v>560</v>
      </c>
      <c r="E39" s="382"/>
      <c r="F39" s="58"/>
      <c r="G39" s="383"/>
      <c r="H39" s="384"/>
      <c r="I39" s="384"/>
      <c r="J39" s="385"/>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1" t="s">
        <v>560</v>
      </c>
      <c r="E40" s="382"/>
      <c r="F40" s="58"/>
      <c r="G40" s="383"/>
      <c r="H40" s="384"/>
      <c r="I40" s="384"/>
      <c r="J40" s="385"/>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81"/>
      <c r="E41" s="382"/>
      <c r="F41" s="58"/>
      <c r="G41" s="383"/>
      <c r="H41" s="384"/>
      <c r="I41" s="384"/>
      <c r="J41" s="385"/>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1" t="str">
        <f ca="1">D25</f>
        <v>Answer</v>
      </c>
      <c r="E43" s="401"/>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Tantalum  (*)</v>
      </c>
      <c r="C44" s="13"/>
      <c r="D44" s="381" t="s">
        <v>560</v>
      </c>
      <c r="E44" s="382"/>
      <c r="F44" s="58"/>
      <c r="G44" s="383"/>
      <c r="H44" s="384"/>
      <c r="I44" s="384"/>
      <c r="J44" s="385"/>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81" t="s">
        <v>560</v>
      </c>
      <c r="E45" s="382"/>
      <c r="F45" s="58"/>
      <c r="G45" s="383"/>
      <c r="H45" s="384"/>
      <c r="I45" s="384"/>
      <c r="J45" s="385"/>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81" t="s">
        <v>560</v>
      </c>
      <c r="E46" s="382"/>
      <c r="F46" s="58"/>
      <c r="G46" s="383"/>
      <c r="H46" s="384"/>
      <c r="I46" s="384"/>
      <c r="J46" s="385"/>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 xml:space="preserve">Tungsten  </v>
      </c>
      <c r="C47" s="13"/>
      <c r="D47" s="381"/>
      <c r="E47" s="382"/>
      <c r="F47" s="58"/>
      <c r="G47" s="383"/>
      <c r="H47" s="384"/>
      <c r="I47" s="384"/>
      <c r="J47" s="385"/>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401" t="str">
        <f ca="1">D25</f>
        <v>Answer</v>
      </c>
      <c r="E49" s="401"/>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46"/>
      <c r="D50" s="402" t="s">
        <v>3157</v>
      </c>
      <c r="E50" s="403"/>
      <c r="F50" s="58"/>
      <c r="G50" s="383"/>
      <c r="H50" s="384"/>
      <c r="I50" s="384"/>
      <c r="J50" s="385"/>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402" t="s">
        <v>3157</v>
      </c>
      <c r="E51" s="403"/>
      <c r="F51" s="58"/>
      <c r="G51" s="383"/>
      <c r="H51" s="384"/>
      <c r="I51" s="384"/>
      <c r="J51" s="385"/>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402" t="s">
        <v>3157</v>
      </c>
      <c r="E52" s="403"/>
      <c r="F52" s="58"/>
      <c r="G52" s="383"/>
      <c r="H52" s="384"/>
      <c r="I52" s="384"/>
      <c r="J52" s="385"/>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46"/>
      <c r="D53" s="402"/>
      <c r="E53" s="403"/>
      <c r="F53" s="58"/>
      <c r="G53" s="383"/>
      <c r="H53" s="384"/>
      <c r="I53" s="384"/>
      <c r="J53" s="385"/>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401" t="str">
        <f ca="1">D25</f>
        <v>Answer</v>
      </c>
      <c r="E55" s="401"/>
      <c r="F55" s="21"/>
      <c r="G55" s="55" t="str">
        <f ca="1">G25</f>
        <v>Comments</v>
      </c>
      <c r="H55" s="394"/>
      <c r="I55" s="394"/>
      <c r="J55" s="394"/>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13"/>
      <c r="D56" s="399" t="s">
        <v>558</v>
      </c>
      <c r="E56" s="400"/>
      <c r="F56" s="58"/>
      <c r="G56" s="383"/>
      <c r="H56" s="384"/>
      <c r="I56" s="384"/>
      <c r="J56" s="385"/>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381" t="s">
        <v>558</v>
      </c>
      <c r="E57" s="382"/>
      <c r="F57" s="58"/>
      <c r="G57" s="383"/>
      <c r="H57" s="384"/>
      <c r="I57" s="384"/>
      <c r="J57" s="385"/>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381" t="s">
        <v>558</v>
      </c>
      <c r="E58" s="382"/>
      <c r="F58" s="58"/>
      <c r="G58" s="383"/>
      <c r="H58" s="384"/>
      <c r="I58" s="384"/>
      <c r="J58" s="385"/>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13"/>
      <c r="D59" s="381"/>
      <c r="E59" s="382"/>
      <c r="F59" s="58"/>
      <c r="G59" s="383"/>
      <c r="H59" s="384"/>
      <c r="I59" s="384"/>
      <c r="J59" s="385"/>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401" t="str">
        <f ca="1">D25</f>
        <v>Answer</v>
      </c>
      <c r="E61" s="401"/>
      <c r="F61" s="21"/>
      <c r="G61" s="55" t="str">
        <f ca="1">G25</f>
        <v>Comments</v>
      </c>
      <c r="H61" s="394" t="str">
        <f>IF(Q69="(*)","Click here to enter smelter names","")</f>
        <v/>
      </c>
      <c r="I61" s="394"/>
      <c r="J61" s="394"/>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46"/>
      <c r="D62" s="381" t="s">
        <v>558</v>
      </c>
      <c r="E62" s="382"/>
      <c r="F62" s="59"/>
      <c r="G62" s="383"/>
      <c r="H62" s="384"/>
      <c r="I62" s="384"/>
      <c r="J62" s="385"/>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81" t="s">
        <v>558</v>
      </c>
      <c r="E63" s="382"/>
      <c r="F63" s="59"/>
      <c r="G63" s="383"/>
      <c r="H63" s="384"/>
      <c r="I63" s="384"/>
      <c r="J63" s="385"/>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81" t="s">
        <v>558</v>
      </c>
      <c r="E64" s="382"/>
      <c r="F64" s="59"/>
      <c r="G64" s="383"/>
      <c r="H64" s="384"/>
      <c r="I64" s="384"/>
      <c r="J64" s="385"/>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 xml:space="preserve">Tungsten  </v>
      </c>
      <c r="C65" s="60"/>
      <c r="D65" s="381"/>
      <c r="E65" s="382"/>
      <c r="F65" s="61"/>
      <c r="G65" s="383"/>
      <c r="H65" s="384"/>
      <c r="I65" s="384"/>
      <c r="J65" s="385"/>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6" t="str">
        <f ca="1">OFFSET(L!$C$1,MATCH("Declaration"&amp;ADDRESS(ROW(),COLUMN(),4),L!$A:$A,0)-1,SL,,)</f>
        <v>Answer the Following Questions at a Company Level</v>
      </c>
      <c r="C67" s="386"/>
      <c r="D67" s="386"/>
      <c r="E67" s="386"/>
      <c r="F67" s="386"/>
      <c r="G67" s="386"/>
      <c r="H67" s="386"/>
      <c r="I67" s="386"/>
      <c r="J67" s="386"/>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395" t="str">
        <f ca="1">D25</f>
        <v>Answer</v>
      </c>
      <c r="E68" s="395"/>
      <c r="F68" s="64"/>
      <c r="G68" s="395" t="str">
        <f ca="1">G25</f>
        <v>Comments</v>
      </c>
      <c r="H68" s="395" t="e">
        <f>HLOOKUP(SL,LT,$O68,0)</f>
        <v>#NAME?</v>
      </c>
      <c r="I68" s="395"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1" t="s">
        <v>558</v>
      </c>
      <c r="E69" s="382"/>
      <c r="F69" s="68"/>
      <c r="G69" s="383"/>
      <c r="H69" s="384"/>
      <c r="I69" s="384"/>
      <c r="J69" s="385"/>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392"/>
      <c r="H70" s="392"/>
      <c r="I70" s="392"/>
      <c r="J70" s="392"/>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381" t="s">
        <v>558</v>
      </c>
      <c r="E71" s="382"/>
      <c r="F71" s="68"/>
      <c r="G71" s="410" t="s">
        <v>15558</v>
      </c>
      <c r="H71" s="411"/>
      <c r="I71" s="411"/>
      <c r="J71" s="412"/>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1" t="s">
        <v>558</v>
      </c>
      <c r="E73" s="382"/>
      <c r="F73" s="68"/>
      <c r="G73" s="383"/>
      <c r="H73" s="384"/>
      <c r="I73" s="384"/>
      <c r="J73" s="385"/>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1" t="s">
        <v>558</v>
      </c>
      <c r="E75" s="382"/>
      <c r="F75" s="68"/>
      <c r="G75" s="383"/>
      <c r="H75" s="384"/>
      <c r="I75" s="384"/>
      <c r="J75" s="385"/>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1" t="s">
        <v>558</v>
      </c>
      <c r="E77" s="382"/>
      <c r="F77" s="68"/>
      <c r="G77" s="383"/>
      <c r="H77" s="384"/>
      <c r="I77" s="384"/>
      <c r="J77" s="385"/>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0" t="s">
        <v>13311</v>
      </c>
      <c r="E79" s="391"/>
      <c r="F79" s="68"/>
      <c r="G79" s="383"/>
      <c r="H79" s="384"/>
      <c r="I79" s="384"/>
      <c r="J79" s="385"/>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392"/>
      <c r="H80" s="392"/>
      <c r="I80" s="392"/>
      <c r="J80" s="392"/>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381" t="s">
        <v>558</v>
      </c>
      <c r="E81" s="382"/>
      <c r="F81" s="68"/>
      <c r="G81" s="383"/>
      <c r="H81" s="384"/>
      <c r="I81" s="384"/>
      <c r="J81" s="385"/>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393"/>
      <c r="H82" s="393"/>
      <c r="I82" s="393"/>
      <c r="J82" s="393"/>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1" t="s">
        <v>558</v>
      </c>
      <c r="E83" s="382"/>
      <c r="F83" s="68"/>
      <c r="G83" s="383"/>
      <c r="H83" s="384"/>
      <c r="I83" s="384"/>
      <c r="J83" s="385"/>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1" t="s">
        <v>559</v>
      </c>
      <c r="E85" s="382"/>
      <c r="F85" s="68"/>
      <c r="G85" s="383"/>
      <c r="H85" s="384"/>
      <c r="I85" s="384"/>
      <c r="J85" s="385"/>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9" t="str">
        <f>IF(OR($D$8="",$I$3=""),"","Click here to check required fields completion")</f>
        <v/>
      </c>
      <c r="C86" s="389"/>
      <c r="D86" s="389"/>
      <c r="E86" s="389"/>
      <c r="F86" s="389"/>
      <c r="G86" s="389"/>
      <c r="H86" s="389"/>
      <c r="I86" s="389"/>
      <c r="J86" s="389"/>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387" t="str">
        <f ca="1">OFFSET(L!$C$1,MATCH("General"&amp;"Cpy",L!$A:$A,0)-1,SL,,)</f>
        <v>© 2019 Responsible Minerals Initiative. All rights reserved.</v>
      </c>
      <c r="B87" s="388"/>
      <c r="C87" s="388"/>
      <c r="D87" s="388"/>
      <c r="E87" s="388"/>
      <c r="F87" s="388"/>
      <c r="G87" s="388"/>
      <c r="H87" s="388"/>
      <c r="I87" s="388"/>
      <c r="J87" s="388"/>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128" priority="57" stopIfTrue="1">
      <formula>AND(OR($D$26="No",AND($D$26="Yes",$D$32="No")),OR($D$27="No",AND($D$27="Yes",$D$33="No")), OR($D$28="No",AND($D$28="Yes",$D$34="No")), OR($D$29="No",AND($D$29="Yes",$D$35="No")))</formula>
    </cfRule>
    <cfRule type="expression" dxfId="127" priority="58" stopIfTrue="1">
      <formula>IF(D69="",TRUE)</formula>
    </cfRule>
  </conditionalFormatting>
  <conditionalFormatting sqref="G71:J71">
    <cfRule type="expression" dxfId="126" priority="29" stopIfTrue="1">
      <formula>IF(AND($D$71="Yes",$G$71=""),TRUE)</formula>
    </cfRule>
  </conditionalFormatting>
  <conditionalFormatting sqref="D26:E26">
    <cfRule type="expression" dxfId="125" priority="109" stopIfTrue="1">
      <formula>IF($D$26="",TRUE)</formula>
    </cfRule>
  </conditionalFormatting>
  <conditionalFormatting sqref="D27:E27">
    <cfRule type="expression" dxfId="124" priority="116" stopIfTrue="1">
      <formula>IF($D$27="",TRUE)</formula>
    </cfRule>
  </conditionalFormatting>
  <conditionalFormatting sqref="D28:E28">
    <cfRule type="expression" dxfId="123" priority="117" stopIfTrue="1">
      <formula>IF($D$28="",TRUE)</formula>
    </cfRule>
  </conditionalFormatting>
  <conditionalFormatting sqref="D29:E29">
    <cfRule type="expression" dxfId="122" priority="118" stopIfTrue="1">
      <formula>IF($D$29="",TRUE)</formula>
    </cfRule>
  </conditionalFormatting>
  <conditionalFormatting sqref="D8:J8">
    <cfRule type="expression" dxfId="121" priority="123" stopIfTrue="1">
      <formula>IF($D$8="",TRUE)</formula>
    </cfRule>
  </conditionalFormatting>
  <conditionalFormatting sqref="D9:G9">
    <cfRule type="expression" dxfId="120" priority="124" stopIfTrue="1">
      <formula>IF($D$9="",TRUE)</formula>
    </cfRule>
  </conditionalFormatting>
  <conditionalFormatting sqref="D22:E22">
    <cfRule type="expression" dxfId="119" priority="131" stopIfTrue="1">
      <formula>IF($D$22="",TRUE)</formula>
    </cfRule>
  </conditionalFormatting>
  <conditionalFormatting sqref="D10:J10">
    <cfRule type="expression" dxfId="118" priority="28" stopIfTrue="1">
      <formula>IF($D$9=$Q$9,TRUE)</formula>
    </cfRule>
    <cfRule type="expression" dxfId="117" priority="138" stopIfTrue="1">
      <formula>IF(AND($D$10="",$D$9=$R$9),TRUE)</formula>
    </cfRule>
  </conditionalFormatting>
  <conditionalFormatting sqref="D34:E34 D40:E40 D46:E46 D52:E52 D58:E58 D64:E64">
    <cfRule type="expression" dxfId="116" priority="21" stopIfTrue="1">
      <formula>$P$28=""</formula>
    </cfRule>
  </conditionalFormatting>
  <conditionalFormatting sqref="D35:E35 D41:E41 D47:E47 D53:E53 D59:E59 D65:E65">
    <cfRule type="expression" dxfId="115" priority="136" stopIfTrue="1">
      <formula>$P$29=""</formula>
    </cfRule>
  </conditionalFormatting>
  <conditionalFormatting sqref="D32:E32">
    <cfRule type="expression" dxfId="114" priority="114" stopIfTrue="1">
      <formula>$P$26=""</formula>
    </cfRule>
  </conditionalFormatting>
  <conditionalFormatting sqref="D32:E32">
    <cfRule type="expression" dxfId="113" priority="27" stopIfTrue="1">
      <formula>IF(AND(OR($D$26="Yes",$D$26=""),$D$32=""),1,0)</formula>
    </cfRule>
  </conditionalFormatting>
  <conditionalFormatting sqref="D38 D44 D50 D56 D62">
    <cfRule type="expression" dxfId="112" priority="23" stopIfTrue="1">
      <formula>$P$32=""</formula>
    </cfRule>
  </conditionalFormatting>
  <conditionalFormatting sqref="D39:E39 D45 D51 D57 D63">
    <cfRule type="expression" dxfId="111" priority="22" stopIfTrue="1">
      <formula>$P$33=""</formula>
    </cfRule>
  </conditionalFormatting>
  <conditionalFormatting sqref="D40 D46 D52 D58 D64">
    <cfRule type="expression" dxfId="110" priority="12" stopIfTrue="1">
      <formula>$P$34=""</formula>
    </cfRule>
    <cfRule type="expression" dxfId="109" priority="134" stopIfTrue="1">
      <formula>IF(AND(OR($D$28="Yes",$D$28=""),D40=""),1,0)</formula>
    </cfRule>
  </conditionalFormatting>
  <conditionalFormatting sqref="D41 D47 D53 D59 D65">
    <cfRule type="expression" dxfId="108" priority="20" stopIfTrue="1">
      <formula>$P$35=""</formula>
    </cfRule>
  </conditionalFormatting>
  <conditionalFormatting sqref="D38:E38 D44:E44 D50:E50 D56:E56 D62:E62">
    <cfRule type="expression" dxfId="107" priority="25" stopIfTrue="1">
      <formula>$P$26=""</formula>
    </cfRule>
    <cfRule type="expression" dxfId="106" priority="26" stopIfTrue="1">
      <formula>IF(AND(OR($D$26="Yes",$D$26=""),D38=""),1,0)</formula>
    </cfRule>
  </conditionalFormatting>
  <conditionalFormatting sqref="G79:J79">
    <cfRule type="expression" dxfId="105" priority="19" stopIfTrue="1">
      <formula>IF(AND($D$79="Yes, using other format (describe)",$G$79=""),TRUE)</formula>
    </cfRule>
  </conditionalFormatting>
  <conditionalFormatting sqref="D39:E39 D45:E45 D51:E51 D57:E57 D63:E63">
    <cfRule type="expression" dxfId="104" priority="132" stopIfTrue="1">
      <formula>$P$39=""</formula>
    </cfRule>
    <cfRule type="expression" dxfId="103" priority="133" stopIfTrue="1">
      <formula>IF(AND(OR($D$27="Yes",$D$27=""),D39=""),1,0)</formula>
    </cfRule>
  </conditionalFormatting>
  <conditionalFormatting sqref="D33:E33">
    <cfRule type="expression" dxfId="102" priority="14" stopIfTrue="1">
      <formula>IF(AND(OR($D$27="Yes",$D$27=""),$D$33=""),1,0)</formula>
    </cfRule>
    <cfRule type="expression" dxfId="101" priority="15" stopIfTrue="1">
      <formula>$P$27=""</formula>
    </cfRule>
  </conditionalFormatting>
  <conditionalFormatting sqref="D34:E34">
    <cfRule type="expression" dxfId="100" priority="135" stopIfTrue="1">
      <formula>IF(AND(OR($D$28="Yes",$D$28=""),$D$34=""),1,0)</formula>
    </cfRule>
  </conditionalFormatting>
  <conditionalFormatting sqref="D41:E41 D47:E47 D53:E53 D59:E59 D65:E65">
    <cfRule type="expression" dxfId="99" priority="137" stopIfTrue="1">
      <formula>IF(AND(OR($D$29="Yes",$D$29=""),D41=""),1,0)</formula>
    </cfRule>
  </conditionalFormatting>
  <conditionalFormatting sqref="D35:E35">
    <cfRule type="expression" dxfId="98" priority="11" stopIfTrue="1">
      <formula>IF(AND(OR($D$29="Yes",$D$29=""),$D$35=""),1,0)</formula>
    </cfRule>
  </conditionalFormatting>
  <conditionalFormatting sqref="D15:J15">
    <cfRule type="expression" dxfId="97" priority="5" stopIfTrue="1">
      <formula>IF($D$15="",TRUE)</formula>
    </cfRule>
  </conditionalFormatting>
  <conditionalFormatting sqref="D16:J16">
    <cfRule type="expression" dxfId="96" priority="6" stopIfTrue="1">
      <formula>IF($D$16="",TRUE)</formula>
    </cfRule>
  </conditionalFormatting>
  <conditionalFormatting sqref="D17:J17">
    <cfRule type="expression" dxfId="95" priority="3" stopIfTrue="1">
      <formula>IF($D$17="",TRUE)</formula>
    </cfRule>
  </conditionalFormatting>
  <conditionalFormatting sqref="D18:J18">
    <cfRule type="expression" dxfId="94" priority="4" stopIfTrue="1">
      <formula>IF($D$18="",TRUE)</formula>
    </cfRule>
  </conditionalFormatting>
  <conditionalFormatting sqref="D20:J20">
    <cfRule type="expression" dxfId="93" priority="1" stopIfTrue="1">
      <formula>IF($D$20="",TRUE)</formula>
    </cfRule>
  </conditionalFormatting>
  <conditionalFormatting sqref="D21:J21">
    <cfRule type="expression" dxfId="92"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G71" r:id="rId3" xr:uid="{79A7E1E2-65FB-41EE-A46A-3F6AE9587AE4}"/>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abSelected="1" topLeftCell="A13" zoomScaleNormal="100" zoomScalePageLayoutView="55" workbookViewId="0">
      <selection activeCell="H12" sqref="H12"/>
    </sheetView>
  </sheetViews>
  <sheetFormatPr defaultColWidth="8.84375" defaultRowHeight="13.5"/>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1" t="str">
        <f ca="1">OFFSET(L!$C$1,MATCH("Smelter List"&amp;ADDRESS(ROW(),COLUMN(),4),L!$A:$A,0)-1,SL,,)</f>
        <v>Link to "RMAP Conformant Smelter List"</v>
      </c>
      <c r="K2" s="442"/>
      <c r="L2" s="442"/>
      <c r="M2" s="442"/>
      <c r="N2" s="442"/>
      <c r="O2" s="442"/>
      <c r="P2" s="232"/>
      <c r="Q2" s="233"/>
      <c r="R2" s="234"/>
      <c r="S2" s="234"/>
      <c r="T2" s="234"/>
      <c r="U2" s="261"/>
      <c r="V2" s="261"/>
      <c r="W2" s="262"/>
      <c r="X2" s="261"/>
      <c r="Y2" s="261"/>
      <c r="Z2" s="261"/>
      <c r="AH2" s="178" t="s">
        <v>558</v>
      </c>
    </row>
    <row r="3" spans="1:34" s="263" customFormat="1" ht="255.65" customHeight="1">
      <c r="A3" s="204"/>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64"/>
      <c r="G3" s="444" t="str">
        <f ca="1">OFFSET(L!$C$1,MATCH("General"&amp;"Cpy",L!$A:$A,0)-1,SL,,)</f>
        <v>© 2019 Responsible Minerals Initiative. All rights reserved.</v>
      </c>
      <c r="H3" s="444"/>
      <c r="I3" s="445"/>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49999999999999" customHeight="1">
      <c r="A5" s="215"/>
      <c r="B5" s="347" t="s">
        <v>1252</v>
      </c>
      <c r="C5" s="347" t="s">
        <v>15412</v>
      </c>
      <c r="D5" s="348" t="s">
        <v>15412</v>
      </c>
      <c r="E5" s="348" t="s">
        <v>3092</v>
      </c>
      <c r="F5" s="348" t="s">
        <v>15413</v>
      </c>
      <c r="G5" s="348" t="s">
        <v>14357</v>
      </c>
      <c r="H5" s="349"/>
      <c r="I5" s="350" t="s">
        <v>15560</v>
      </c>
      <c r="J5" s="350" t="s">
        <v>1874</v>
      </c>
      <c r="K5" s="267"/>
      <c r="L5" s="267"/>
      <c r="M5" s="267"/>
      <c r="N5" s="267"/>
      <c r="O5" s="267"/>
      <c r="P5" s="219"/>
      <c r="Q5" s="268"/>
      <c r="R5" s="216" t="str">
        <f ca="1">IF(ISERROR($V5),"",OFFSET('Smelter Look-up'!$C$4,$V5-4,0)&amp;"")</f>
        <v>CP Metals Inc.</v>
      </c>
      <c r="S5" s="224" t="str">
        <f t="shared" ref="S5:S68" ca="1" si="0">IF(B5="","",IF(ISERROR(MATCH($E5,CL,0)),"Unknown",INDIRECT("'C'!$A$"&amp;MATCH($E5,CL,0)+1)))</f>
        <v>US</v>
      </c>
      <c r="T5" s="224" t="str">
        <f ca="1">IF(B5="","",IF(ISERROR(MATCH($J5,SorP!$B$1:$B$6230,0)),"",INDIRECT("'SorP'!$A$"&amp;MATCH($J5,SorP!$B$1:$B$6230,0))))</f>
        <v>US-OH</v>
      </c>
      <c r="U5" s="239"/>
      <c r="V5" s="269">
        <f>IF(C5="",NA(),MATCH($B5&amp;$C5,'Smelter Look-up'!$J:$J,0))</f>
        <v>290</v>
      </c>
      <c r="W5" s="270"/>
      <c r="X5" s="270">
        <f t="shared" ref="X5:X68" si="1">IF(AND(C5="Smelter not listed",OR(LEN(D5)=0,LEN(E5)=0)),1,0)</f>
        <v>0</v>
      </c>
      <c r="Y5" s="270"/>
      <c r="Z5" s="270"/>
      <c r="AB5" s="272" t="str">
        <f t="shared" ref="AB5:AB68" si="2">B5&amp;C5</f>
        <v>TantalumCP Metals Inc.</v>
      </c>
    </row>
    <row r="6" spans="1:34" s="271" customFormat="1" ht="20.149999999999999" customHeight="1">
      <c r="A6" s="215"/>
      <c r="B6" s="347" t="s">
        <v>1252</v>
      </c>
      <c r="C6" s="347" t="s">
        <v>1959</v>
      </c>
      <c r="D6" s="348" t="s">
        <v>15561</v>
      </c>
      <c r="E6" s="348" t="s">
        <v>1220</v>
      </c>
      <c r="F6" s="348" t="s">
        <v>840</v>
      </c>
      <c r="G6" s="348" t="s">
        <v>14357</v>
      </c>
      <c r="H6" s="349"/>
      <c r="I6" s="350" t="s">
        <v>1828</v>
      </c>
      <c r="J6" s="350" t="s">
        <v>15237</v>
      </c>
      <c r="K6" s="267"/>
      <c r="L6" s="267"/>
      <c r="M6" s="267"/>
      <c r="N6" s="267"/>
      <c r="O6" s="267"/>
      <c r="P6" s="219"/>
      <c r="Q6" s="268"/>
      <c r="R6" s="216" t="str">
        <f ca="1">IF(ISERROR($V6),"",OFFSET('Smelter Look-up'!$C$4,$V6-4,0)&amp;"")</f>
        <v>Changsha South Tantalum Niobium Co., Ltd.</v>
      </c>
      <c r="S6" s="224" t="str">
        <f t="shared" ca="1" si="0"/>
        <v>CN</v>
      </c>
      <c r="T6" s="224" t="str">
        <f ca="1">IF(B6="","",IF(ISERROR(MATCH($J6,SorP!$B$1:$B$6230,0)),"",INDIRECT("'SorP'!$A$"&amp;MATCH($J6,SorP!$B$1:$B$6230,0))))</f>
        <v>CN-HN</v>
      </c>
      <c r="U6" s="239"/>
      <c r="V6" s="269">
        <f>IF(C6="",NA(),MATCH($B6&amp;$C6,'Smelter Look-up'!$J:$J,0))</f>
        <v>288</v>
      </c>
      <c r="W6" s="270"/>
      <c r="X6" s="270">
        <f t="shared" si="1"/>
        <v>0</v>
      </c>
      <c r="Y6" s="270"/>
      <c r="Z6" s="270"/>
      <c r="AB6" s="272" t="str">
        <f t="shared" si="2"/>
        <v>TantalumChangsha Southern</v>
      </c>
    </row>
    <row r="7" spans="1:34" s="271" customFormat="1" ht="20.149999999999999" customHeight="1">
      <c r="A7" s="215"/>
      <c r="B7" s="347" t="s">
        <v>1252</v>
      </c>
      <c r="C7" s="347" t="s">
        <v>1534</v>
      </c>
      <c r="D7" s="348" t="s">
        <v>1534</v>
      </c>
      <c r="E7" s="348" t="s">
        <v>3092</v>
      </c>
      <c r="F7" s="348" t="s">
        <v>15562</v>
      </c>
      <c r="G7" s="348" t="s">
        <v>14357</v>
      </c>
      <c r="H7" s="349" t="s">
        <v>15494</v>
      </c>
      <c r="I7" s="350" t="s">
        <v>1987</v>
      </c>
      <c r="J7" s="350" t="s">
        <v>1988</v>
      </c>
      <c r="K7" s="267"/>
      <c r="L7" s="267"/>
      <c r="M7" s="267"/>
      <c r="N7" s="267"/>
      <c r="O7" s="267"/>
      <c r="P7" s="219"/>
      <c r="Q7" s="268"/>
      <c r="R7" s="216" t="str">
        <f ca="1">IF(ISERROR($V7),"",OFFSET('Smelter Look-up'!$C$4,$V7-4,0)&amp;"")</f>
        <v>D Block Metals, LLC</v>
      </c>
      <c r="S7" s="224" t="str">
        <f t="shared" ca="1" si="0"/>
        <v>US</v>
      </c>
      <c r="T7" s="224" t="str">
        <f ca="1">IF(B7="","",IF(ISERROR(MATCH($J7,SorP!$B$1:$B$6230,0)),"",INDIRECT("'SorP'!$A$"&amp;MATCH($J7,SorP!$B$1:$B$6230,0))))</f>
        <v>US-NC</v>
      </c>
      <c r="U7" s="239"/>
      <c r="V7" s="269">
        <f>IF(C7="",NA(),MATCH($B7&amp;$C7,'Smelter Look-up'!$J:$J,0))</f>
        <v>291</v>
      </c>
      <c r="W7" s="270"/>
      <c r="X7" s="270">
        <f t="shared" si="1"/>
        <v>0</v>
      </c>
      <c r="Y7" s="270"/>
      <c r="Z7" s="270"/>
      <c r="AB7" s="272" t="str">
        <f t="shared" si="2"/>
        <v>TantalumD Block Metals, LLC</v>
      </c>
    </row>
    <row r="8" spans="1:34" s="271" customFormat="1" ht="20.149999999999999" customHeight="1">
      <c r="A8" s="215"/>
      <c r="B8" s="347" t="s">
        <v>1251</v>
      </c>
      <c r="C8" s="347" t="s">
        <v>15495</v>
      </c>
      <c r="D8" s="348" t="s">
        <v>1151</v>
      </c>
      <c r="E8" s="348" t="s">
        <v>996</v>
      </c>
      <c r="F8" s="348" t="s">
        <v>873</v>
      </c>
      <c r="G8" s="348" t="s">
        <v>15496</v>
      </c>
      <c r="H8" s="349" t="s">
        <v>15494</v>
      </c>
      <c r="I8" s="350" t="s">
        <v>15494</v>
      </c>
      <c r="J8" s="350" t="s">
        <v>15494</v>
      </c>
      <c r="K8" s="267"/>
      <c r="L8" s="267"/>
      <c r="M8" s="267"/>
      <c r="N8" s="267"/>
      <c r="O8" s="267"/>
      <c r="P8" s="219"/>
      <c r="Q8" s="268"/>
      <c r="R8" s="216" t="str">
        <f ca="1">IF(ISERROR($V8),"",OFFSET('Smelter Look-up'!$C$4,$V8-4,0)&amp;"")</f>
        <v/>
      </c>
      <c r="S8" s="224" t="str">
        <f t="shared" ca="1" si="0"/>
        <v>PE</v>
      </c>
      <c r="T8" s="224" t="str">
        <f ca="1">IF(B8="","",IF(ISERROR(MATCH($J8,SorP!$B$1:$B$6230,0)),"",INDIRECT("'SorP'!$A$"&amp;MATCH($J8,SorP!$B$1:$B$6230,0))))</f>
        <v/>
      </c>
      <c r="U8" s="239"/>
      <c r="V8" s="269" t="e">
        <f>IF(C8="",NA(),MATCH($B8&amp;$C8,'Smelter Look-up'!$J:$J,0))</f>
        <v>#N/A</v>
      </c>
      <c r="W8" s="270"/>
      <c r="X8" s="270">
        <f t="shared" si="1"/>
        <v>0</v>
      </c>
      <c r="Y8" s="270"/>
      <c r="Z8" s="270"/>
      <c r="AB8" s="272" t="str">
        <f t="shared" si="2"/>
        <v>TinFunsur</v>
      </c>
    </row>
    <row r="9" spans="1:34" s="271" customFormat="1" ht="20.149999999999999" customHeight="1">
      <c r="A9" s="215"/>
      <c r="B9" s="347" t="s">
        <v>1252</v>
      </c>
      <c r="C9" s="347" t="s">
        <v>51</v>
      </c>
      <c r="D9" s="348" t="s">
        <v>51</v>
      </c>
      <c r="E9" s="348" t="s">
        <v>1216</v>
      </c>
      <c r="F9" s="348" t="s">
        <v>15563</v>
      </c>
      <c r="G9" s="348" t="s">
        <v>14357</v>
      </c>
      <c r="H9" s="349">
        <v>0</v>
      </c>
      <c r="I9" s="350" t="s">
        <v>15564</v>
      </c>
      <c r="J9" s="350" t="s">
        <v>1784</v>
      </c>
      <c r="K9" s="267"/>
      <c r="L9" s="267"/>
      <c r="M9" s="267"/>
      <c r="N9" s="267"/>
      <c r="O9" s="267"/>
      <c r="P9" s="219"/>
      <c r="Q9" s="268"/>
      <c r="R9" s="216" t="str">
        <f ca="1">IF(ISERROR($V9),"",OFFSET('Smelter Look-up'!$C$4,$V9-4,0)&amp;"")</f>
        <v>LSM Brasil S.A.</v>
      </c>
      <c r="S9" s="224" t="str">
        <f t="shared" ca="1" si="0"/>
        <v>BR</v>
      </c>
      <c r="T9" s="224" t="str">
        <f ca="1">IF(B9="","",IF(ISERROR(MATCH($J9,SorP!$B$1:$B$6230,0)),"",INDIRECT("'SorP'!$A$"&amp;MATCH($J9,SorP!$B$1:$B$6230,0))))</f>
        <v>BR-MG</v>
      </c>
      <c r="U9" s="239"/>
      <c r="V9" s="269">
        <f>IF(C9="",NA(),MATCH($B9&amp;$C9,'Smelter Look-up'!$J:$J,0))</f>
        <v>316</v>
      </c>
      <c r="W9" s="270"/>
      <c r="X9" s="270">
        <f t="shared" si="1"/>
        <v>0</v>
      </c>
      <c r="Y9" s="270"/>
      <c r="Z9" s="270"/>
      <c r="AB9" s="272" t="str">
        <f t="shared" si="2"/>
        <v>TantalumLSM Brasil S.A.</v>
      </c>
    </row>
    <row r="10" spans="1:34" s="271" customFormat="1" ht="20.149999999999999" customHeight="1">
      <c r="A10" s="215"/>
      <c r="B10" s="347" t="s">
        <v>1251</v>
      </c>
      <c r="C10" s="347" t="s">
        <v>934</v>
      </c>
      <c r="D10" s="348" t="s">
        <v>934</v>
      </c>
      <c r="E10" s="348" t="s">
        <v>1235</v>
      </c>
      <c r="F10" s="348" t="s">
        <v>871</v>
      </c>
      <c r="G10" s="348" t="s">
        <v>15496</v>
      </c>
      <c r="H10" s="349">
        <v>0</v>
      </c>
      <c r="I10" s="350" t="s">
        <v>2031</v>
      </c>
      <c r="J10" s="350" t="s">
        <v>15497</v>
      </c>
      <c r="K10" s="267"/>
      <c r="L10" s="267"/>
      <c r="M10" s="267"/>
      <c r="N10" s="267"/>
      <c r="O10" s="267"/>
      <c r="P10" s="219"/>
      <c r="Q10" s="268"/>
      <c r="R10" s="216" t="str">
        <f ca="1">IF(ISERROR($V10),"",OFFSET('Smelter Look-up'!$C$4,$V10-4,0)&amp;"")</f>
        <v>Malaysia Smelting Corporation (MSC)</v>
      </c>
      <c r="S10" s="224" t="str">
        <f t="shared" ca="1" si="0"/>
        <v>MY</v>
      </c>
      <c r="T10" s="224" t="str">
        <f ca="1">IF(B10="","",IF(ISERROR(MATCH($J10,SorP!$B$1:$B$6230,0)),"",INDIRECT("'SorP'!$A$"&amp;MATCH($J10,SorP!$B$1:$B$6230,0))))</f>
        <v/>
      </c>
      <c r="U10" s="239"/>
      <c r="V10" s="269">
        <f>IF(C10="",NA(),MATCH($B10&amp;$C10,'Smelter Look-up'!$J:$J,0))</f>
        <v>418</v>
      </c>
      <c r="W10" s="270"/>
      <c r="X10" s="270">
        <f t="shared" si="1"/>
        <v>0</v>
      </c>
      <c r="Y10" s="270"/>
      <c r="Z10" s="270"/>
      <c r="AB10" s="272" t="str">
        <f t="shared" si="2"/>
        <v>TinMalaysia Smelting Corporation (MSC)</v>
      </c>
    </row>
    <row r="11" spans="1:34" s="271" customFormat="1" ht="20.149999999999999" customHeight="1">
      <c r="A11" s="215"/>
      <c r="B11" s="347" t="s">
        <v>1251</v>
      </c>
      <c r="C11" s="347" t="s">
        <v>15498</v>
      </c>
      <c r="D11" s="348" t="s">
        <v>1150</v>
      </c>
      <c r="E11" s="348" t="s">
        <v>1216</v>
      </c>
      <c r="F11" s="348" t="s">
        <v>872</v>
      </c>
      <c r="G11" s="348" t="s">
        <v>15496</v>
      </c>
      <c r="H11" s="349" t="s">
        <v>15494</v>
      </c>
      <c r="I11" s="350" t="s">
        <v>15494</v>
      </c>
      <c r="J11" s="350" t="s">
        <v>15494</v>
      </c>
      <c r="K11" s="267"/>
      <c r="L11" s="267"/>
      <c r="M11" s="267"/>
      <c r="N11" s="267"/>
      <c r="O11" s="267"/>
      <c r="P11" s="219"/>
      <c r="Q11" s="268"/>
      <c r="R11" s="216" t="str">
        <f ca="1">IF(ISERROR($V11),"",OFFSET('Smelter Look-up'!$C$4,$V11-4,0)&amp;"")</f>
        <v/>
      </c>
      <c r="S11" s="224" t="str">
        <f t="shared" ca="1" si="0"/>
        <v>BR</v>
      </c>
      <c r="T11" s="224" t="str">
        <f ca="1">IF(B11="","",IF(ISERROR(MATCH($J11,SorP!$B$1:$B$6230,0)),"",INDIRECT("'SorP'!$A$"&amp;MATCH($J11,SorP!$B$1:$B$6230,0))))</f>
        <v/>
      </c>
      <c r="U11" s="239"/>
      <c r="V11" s="269" t="e">
        <f>IF(C11="",NA(),MATCH($B11&amp;$C11,'Smelter Look-up'!$J:$J,0))</f>
        <v>#N/A</v>
      </c>
      <c r="W11" s="270"/>
      <c r="X11" s="270">
        <f t="shared" si="1"/>
        <v>0</v>
      </c>
      <c r="Y11" s="270"/>
      <c r="Z11" s="270"/>
      <c r="AB11" s="272" t="str">
        <f t="shared" si="2"/>
        <v>TinTaboca</v>
      </c>
    </row>
    <row r="12" spans="1:34" s="271" customFormat="1" ht="27">
      <c r="A12" s="215"/>
      <c r="B12" s="347" t="s">
        <v>1251</v>
      </c>
      <c r="C12" s="347" t="s">
        <v>957</v>
      </c>
      <c r="D12" s="348" t="s">
        <v>957</v>
      </c>
      <c r="E12" s="348" t="s">
        <v>15499</v>
      </c>
      <c r="F12" s="348" t="s">
        <v>863</v>
      </c>
      <c r="G12" s="348" t="s">
        <v>15496</v>
      </c>
      <c r="H12" s="349">
        <v>0</v>
      </c>
      <c r="I12" s="350" t="s">
        <v>2019</v>
      </c>
      <c r="J12" s="350" t="s">
        <v>15500</v>
      </c>
      <c r="K12" s="267"/>
      <c r="L12" s="267"/>
      <c r="M12" s="267"/>
      <c r="N12" s="267"/>
      <c r="O12" s="267"/>
      <c r="P12" s="219"/>
      <c r="Q12" s="268"/>
      <c r="R12" s="216" t="str">
        <f ca="1">IF(ISERROR($V12),"",OFFSET('Smelter Look-up'!$C$4,$V12-4,0)&amp;"")</f>
        <v>EM Vinto</v>
      </c>
      <c r="S12" s="224" t="str">
        <f t="shared" ca="1" si="0"/>
        <v>Unknown</v>
      </c>
      <c r="T12" s="224" t="str">
        <f ca="1">IF(B12="","",IF(ISERROR(MATCH($J12,SorP!$B$1:$B$6230,0)),"",INDIRECT("'SorP'!$A$"&amp;MATCH($J12,SorP!$B$1:$B$6230,0))))</f>
        <v/>
      </c>
      <c r="U12" s="239"/>
      <c r="V12" s="269">
        <f>IF(C12="",NA(),MATCH($B12&amp;$C12,'Smelter Look-up'!$J:$J,0))</f>
        <v>380</v>
      </c>
      <c r="W12" s="270"/>
      <c r="X12" s="270">
        <f t="shared" si="1"/>
        <v>0</v>
      </c>
      <c r="Y12" s="270"/>
      <c r="Z12" s="270"/>
      <c r="AB12" s="272" t="str">
        <f t="shared" si="2"/>
        <v>TinEM Vinto</v>
      </c>
    </row>
    <row r="13" spans="1:34" s="271" customFormat="1" ht="27">
      <c r="A13" s="215"/>
      <c r="B13" s="347" t="s">
        <v>1251</v>
      </c>
      <c r="C13" s="347" t="s">
        <v>1151</v>
      </c>
      <c r="D13" s="348" t="s">
        <v>1151</v>
      </c>
      <c r="E13" s="348" t="s">
        <v>996</v>
      </c>
      <c r="F13" s="348" t="s">
        <v>873</v>
      </c>
      <c r="G13" s="348" t="s">
        <v>15496</v>
      </c>
      <c r="H13" s="349">
        <v>0</v>
      </c>
      <c r="I13" s="350" t="s">
        <v>2036</v>
      </c>
      <c r="J13" s="350" t="s">
        <v>2037</v>
      </c>
      <c r="K13" s="267"/>
      <c r="L13" s="267"/>
      <c r="M13" s="267"/>
      <c r="N13" s="267"/>
      <c r="O13" s="267"/>
      <c r="P13" s="219"/>
      <c r="Q13" s="268"/>
      <c r="R13" s="216" t="str">
        <f ca="1">IF(ISERROR($V13),"",OFFSET('Smelter Look-up'!$C$4,$V13-4,0)&amp;"")</f>
        <v>Minsur</v>
      </c>
      <c r="S13" s="224" t="str">
        <f t="shared" ca="1" si="0"/>
        <v>PE</v>
      </c>
      <c r="T13" s="224" t="str">
        <f ca="1">IF(B13="","",IF(ISERROR(MATCH($J13,SorP!$B$1:$B$6230,0)),"",INDIRECT("'SorP'!$A$"&amp;MATCH($J13,SorP!$B$1:$B$6230,0))))</f>
        <v>PE-ICA</v>
      </c>
      <c r="U13" s="239"/>
      <c r="V13" s="269">
        <f>IF(C13="",NA(),MATCH($B13&amp;$C13,'Smelter Look-up'!$J:$J,0))</f>
        <v>428</v>
      </c>
      <c r="W13" s="270"/>
      <c r="X13" s="270">
        <f t="shared" si="1"/>
        <v>0</v>
      </c>
      <c r="Y13" s="270"/>
      <c r="Z13" s="270"/>
      <c r="AB13" s="272" t="str">
        <f t="shared" si="2"/>
        <v>TinMinsur</v>
      </c>
    </row>
    <row r="14" spans="1:34" s="271" customFormat="1" ht="54">
      <c r="A14" s="215"/>
      <c r="B14" s="347" t="s">
        <v>1251</v>
      </c>
      <c r="C14" s="347" t="s">
        <v>1457</v>
      </c>
      <c r="D14" s="348" t="s">
        <v>1457</v>
      </c>
      <c r="E14" s="348"/>
      <c r="F14" s="348" t="s">
        <v>870</v>
      </c>
      <c r="G14" s="348" t="s">
        <v>14357</v>
      </c>
      <c r="H14" s="349">
        <v>0</v>
      </c>
      <c r="I14" s="350" t="s">
        <v>2026</v>
      </c>
      <c r="J14" s="350" t="s">
        <v>15217</v>
      </c>
      <c r="K14" s="267"/>
      <c r="L14" s="267"/>
      <c r="M14" s="267"/>
      <c r="N14" s="267"/>
      <c r="O14" s="267"/>
      <c r="P14" s="219"/>
      <c r="Q14" s="268"/>
      <c r="R14" s="216" t="str">
        <f ca="1">IF(ISERROR($V14),"",OFFSET('Smelter Look-up'!$C$4,$V14-4,0)&amp;"")</f>
        <v>China Tin Group Co., Ltd.</v>
      </c>
      <c r="S14" s="224" t="str">
        <f t="shared" ca="1" si="0"/>
        <v>Unknown</v>
      </c>
      <c r="T14" s="224" t="str">
        <f ca="1">IF(B14="","",IF(ISERROR(MATCH($J14,SorP!$B$1:$B$6230,0)),"",INDIRECT("'SorP'!$A$"&amp;MATCH($J14,SorP!$B$1:$B$6230,0))))</f>
        <v>CN-GX</v>
      </c>
      <c r="U14" s="239"/>
      <c r="V14" s="269">
        <f>IF(C14="",NA(),MATCH($B14&amp;$C14,'Smelter Look-up'!$J:$J,0))</f>
        <v>362</v>
      </c>
      <c r="W14" s="270"/>
      <c r="X14" s="270">
        <f t="shared" si="1"/>
        <v>0</v>
      </c>
      <c r="Y14" s="270"/>
      <c r="Z14" s="270"/>
      <c r="AB14" s="272" t="str">
        <f t="shared" si="2"/>
        <v>TinChina Tin Group Co., Ltd.</v>
      </c>
    </row>
    <row r="15" spans="1:34" s="271" customFormat="1" ht="27">
      <c r="A15" s="215"/>
      <c r="B15" s="347" t="s">
        <v>1251</v>
      </c>
      <c r="C15" s="347" t="s">
        <v>1148</v>
      </c>
      <c r="D15" s="348" t="s">
        <v>1148</v>
      </c>
      <c r="E15" s="348" t="s">
        <v>1004</v>
      </c>
      <c r="F15" s="348" t="s">
        <v>896</v>
      </c>
      <c r="G15" s="348" t="s">
        <v>15496</v>
      </c>
      <c r="H15" s="349">
        <v>0</v>
      </c>
      <c r="I15" s="350" t="s">
        <v>2051</v>
      </c>
      <c r="J15" s="350" t="s">
        <v>2052</v>
      </c>
      <c r="K15" s="267"/>
      <c r="L15" s="267"/>
      <c r="M15" s="267"/>
      <c r="N15" s="267"/>
      <c r="O15" s="267"/>
      <c r="P15" s="219"/>
      <c r="Q15" s="268"/>
      <c r="R15" s="216" t="str">
        <f ca="1">IF(ISERROR($V15),"",OFFSET('Smelter Look-up'!$C$4,$V15-4,0)&amp;"")</f>
        <v>Thaisarco</v>
      </c>
      <c r="S15" s="224" t="str">
        <f t="shared" ca="1" si="0"/>
        <v>TH</v>
      </c>
      <c r="T15" s="224" t="str">
        <f ca="1">IF(B15="","",IF(ISERROR(MATCH($J15,SorP!$B$1:$B$6230,0)),"",INDIRECT("'SorP'!$A$"&amp;MATCH($J15,SorP!$B$1:$B$6230,0))))</f>
        <v>TH-83</v>
      </c>
      <c r="U15" s="239"/>
      <c r="V15" s="269">
        <f>IF(C15="",NA(),MATCH($B15&amp;$C15,'Smelter Look-up'!$J:$J,0))</f>
        <v>488</v>
      </c>
      <c r="W15" s="270"/>
      <c r="X15" s="270">
        <f t="shared" si="1"/>
        <v>0</v>
      </c>
      <c r="Y15" s="270"/>
      <c r="Z15" s="270"/>
      <c r="AB15" s="272" t="str">
        <f t="shared" si="2"/>
        <v>TinThaisarco</v>
      </c>
    </row>
    <row r="16" spans="1:34" s="271" customFormat="1" ht="54">
      <c r="A16" s="215"/>
      <c r="B16" s="347" t="s">
        <v>1251</v>
      </c>
      <c r="C16" s="347" t="s">
        <v>15501</v>
      </c>
      <c r="D16" s="348" t="s">
        <v>15501</v>
      </c>
      <c r="E16" s="348" t="s">
        <v>1225</v>
      </c>
      <c r="F16" s="348" t="s">
        <v>15502</v>
      </c>
      <c r="G16" s="348" t="s">
        <v>15496</v>
      </c>
      <c r="H16" s="349" t="s">
        <v>15494</v>
      </c>
      <c r="I16" s="350" t="s">
        <v>15494</v>
      </c>
      <c r="J16" s="350" t="s">
        <v>15494</v>
      </c>
      <c r="K16" s="267"/>
      <c r="L16" s="267"/>
      <c r="M16" s="267"/>
      <c r="N16" s="267"/>
      <c r="O16" s="267"/>
      <c r="P16" s="219"/>
      <c r="Q16" s="268"/>
      <c r="R16" s="216" t="str">
        <f ca="1">IF(ISERROR($V16),"",OFFSET('Smelter Look-up'!$C$4,$V16-4,0)&amp;"")</f>
        <v/>
      </c>
      <c r="S16" s="224" t="str">
        <f t="shared" ca="1" si="0"/>
        <v>ID</v>
      </c>
      <c r="T16" s="224" t="str">
        <f ca="1">IF(B16="","",IF(ISERROR(MATCH($J16,SorP!$B$1:$B$6230,0)),"",INDIRECT("'SorP'!$A$"&amp;MATCH($J16,SorP!$B$1:$B$6230,0))))</f>
        <v/>
      </c>
      <c r="U16" s="239"/>
      <c r="V16" s="269" t="e">
        <f>IF(C16="",NA(),MATCH($B16&amp;$C16,'Smelter Look-up'!$J:$J,0))</f>
        <v>#N/A</v>
      </c>
      <c r="W16" s="270"/>
      <c r="X16" s="270">
        <f t="shared" si="1"/>
        <v>0</v>
      </c>
      <c r="Y16" s="270"/>
      <c r="Z16" s="270"/>
      <c r="AB16" s="272" t="str">
        <f t="shared" si="2"/>
        <v>TinPT Bangka Putra Karya</v>
      </c>
    </row>
    <row r="17" spans="1:28" s="271" customFormat="1" ht="54">
      <c r="A17" s="215"/>
      <c r="B17" s="347" t="s">
        <v>1251</v>
      </c>
      <c r="C17" s="347" t="s">
        <v>1150</v>
      </c>
      <c r="D17" s="348" t="s">
        <v>1150</v>
      </c>
      <c r="E17" s="348" t="s">
        <v>1216</v>
      </c>
      <c r="F17" s="348" t="s">
        <v>872</v>
      </c>
      <c r="G17" s="348" t="s">
        <v>15496</v>
      </c>
      <c r="H17" s="349">
        <v>0</v>
      </c>
      <c r="I17" s="350" t="s">
        <v>2034</v>
      </c>
      <c r="J17" s="350" t="s">
        <v>1916</v>
      </c>
      <c r="K17" s="267"/>
      <c r="L17" s="267"/>
      <c r="M17" s="267"/>
      <c r="N17" s="267"/>
      <c r="O17" s="267"/>
      <c r="P17" s="219"/>
      <c r="Q17" s="268"/>
      <c r="R17" s="216" t="str">
        <f ca="1">IF(ISERROR($V17),"",OFFSET('Smelter Look-up'!$C$4,$V17-4,0)&amp;"")</f>
        <v>Mineracao Taboca S.A.</v>
      </c>
      <c r="S17" s="224" t="str">
        <f t="shared" ca="1" si="0"/>
        <v>BR</v>
      </c>
      <c r="T17" s="224" t="str">
        <f ca="1">IF(B17="","",IF(ISERROR(MATCH($J17,SorP!$B$1:$B$6230,0)),"",INDIRECT("'SorP'!$A$"&amp;MATCH($J17,SorP!$B$1:$B$6230,0))))</f>
        <v>BR-SP</v>
      </c>
      <c r="U17" s="239"/>
      <c r="V17" s="269">
        <f>IF(C17="",NA(),MATCH($B17&amp;$C17,'Smelter Look-up'!$J:$J,0))</f>
        <v>426</v>
      </c>
      <c r="W17" s="270"/>
      <c r="X17" s="270">
        <f t="shared" si="1"/>
        <v>0</v>
      </c>
      <c r="Y17" s="270"/>
      <c r="Z17" s="270"/>
      <c r="AB17" s="272" t="str">
        <f t="shared" si="2"/>
        <v>TinMineração Taboca S.A.</v>
      </c>
    </row>
    <row r="18" spans="1:28" s="271" customFormat="1" ht="81">
      <c r="A18" s="215"/>
      <c r="B18" s="347" t="s">
        <v>1251</v>
      </c>
      <c r="C18" s="347" t="s">
        <v>54</v>
      </c>
      <c r="D18" s="348" t="s">
        <v>54</v>
      </c>
      <c r="E18" s="348" t="s">
        <v>1216</v>
      </c>
      <c r="F18" s="348" t="s">
        <v>897</v>
      </c>
      <c r="G18" s="348" t="s">
        <v>15496</v>
      </c>
      <c r="H18" s="349">
        <v>0</v>
      </c>
      <c r="I18" s="350" t="s">
        <v>2014</v>
      </c>
      <c r="J18" s="350" t="s">
        <v>15503</v>
      </c>
      <c r="K18" s="267"/>
      <c r="L18" s="267"/>
      <c r="M18" s="267"/>
      <c r="N18" s="267"/>
      <c r="O18" s="267"/>
      <c r="P18" s="219"/>
      <c r="Q18" s="268"/>
      <c r="R18" s="216" t="str">
        <f ca="1">IF(ISERROR($V18),"",OFFSET('Smelter Look-up'!$C$4,$V18-4,0)&amp;"")</f>
        <v>White Solder Metalurgia e Mineracao Ltda.</v>
      </c>
      <c r="S18" s="224" t="str">
        <f t="shared" ca="1" si="0"/>
        <v>BR</v>
      </c>
      <c r="T18" s="224" t="str">
        <f ca="1">IF(B18="","",IF(ISERROR(MATCH($J18,SorP!$B$1:$B$6230,0)),"",INDIRECT("'SorP'!$A$"&amp;MATCH($J18,SorP!$B$1:$B$6230,0))))</f>
        <v/>
      </c>
      <c r="U18" s="239"/>
      <c r="V18" s="269">
        <f>IF(C18="",NA(),MATCH($B18&amp;$C18,'Smelter Look-up'!$J:$J,0))</f>
        <v>496</v>
      </c>
      <c r="W18" s="270"/>
      <c r="X18" s="270">
        <f t="shared" si="1"/>
        <v>0</v>
      </c>
      <c r="Y18" s="270"/>
      <c r="Z18" s="270"/>
      <c r="AB18" s="272" t="str">
        <f t="shared" si="2"/>
        <v>TinWhite Solder Metalurgia e Mineração Ltda.</v>
      </c>
    </row>
    <row r="19" spans="1:28" s="271" customFormat="1" ht="94.5">
      <c r="A19" s="215"/>
      <c r="B19" s="347" t="s">
        <v>1251</v>
      </c>
      <c r="C19" s="347" t="s">
        <v>15504</v>
      </c>
      <c r="D19" s="348" t="s">
        <v>15504</v>
      </c>
      <c r="E19" s="348" t="s">
        <v>1220</v>
      </c>
      <c r="F19" s="348" t="s">
        <v>898</v>
      </c>
      <c r="G19" s="348" t="s">
        <v>15496</v>
      </c>
      <c r="H19" s="349" t="s">
        <v>15494</v>
      </c>
      <c r="I19" s="350" t="s">
        <v>15494</v>
      </c>
      <c r="J19" s="350" t="s">
        <v>15494</v>
      </c>
      <c r="K19" s="267"/>
      <c r="L19" s="267"/>
      <c r="M19" s="267"/>
      <c r="N19" s="267"/>
      <c r="O19" s="267"/>
      <c r="P19" s="219"/>
      <c r="Q19" s="268"/>
      <c r="R19" s="216" t="str">
        <f ca="1">IF(ISERROR($V19),"",OFFSET('Smelter Look-up'!$C$4,$V19-4,0)&amp;"")</f>
        <v/>
      </c>
      <c r="S19" s="224" t="str">
        <f t="shared" ca="1" si="0"/>
        <v>CN</v>
      </c>
      <c r="T19" s="224" t="str">
        <f ca="1">IF(B19="","",IF(ISERROR(MATCH($J19,SorP!$B$1:$B$6230,0)),"",INDIRECT("'SorP'!$A$"&amp;MATCH($J19,SorP!$B$1:$B$6230,0))))</f>
        <v/>
      </c>
      <c r="U19" s="239"/>
      <c r="V19" s="269" t="e">
        <f>IF(C19="",NA(),MATCH($B19&amp;$C19,'Smelter Look-up'!$J:$J,0))</f>
        <v>#N/A</v>
      </c>
      <c r="W19" s="270"/>
      <c r="X19" s="270">
        <f t="shared" si="1"/>
        <v>0</v>
      </c>
      <c r="Y19" s="270"/>
      <c r="Z19" s="270"/>
      <c r="AB19" s="272" t="str">
        <f t="shared" si="2"/>
        <v>TinYunnan Chengfeng Non-ferrous Metals Co.,Ltd.</v>
      </c>
    </row>
    <row r="20" spans="1:28" s="271" customFormat="1" ht="27">
      <c r="A20" s="215"/>
      <c r="B20" s="347" t="s">
        <v>1251</v>
      </c>
      <c r="C20" s="347" t="s">
        <v>958</v>
      </c>
      <c r="D20" s="348" t="s">
        <v>958</v>
      </c>
      <c r="E20" s="348" t="s">
        <v>1220</v>
      </c>
      <c r="F20" s="348" t="s">
        <v>867</v>
      </c>
      <c r="G20" s="348" t="s">
        <v>15496</v>
      </c>
      <c r="H20" s="349">
        <v>0</v>
      </c>
      <c r="I20" s="350" t="s">
        <v>15505</v>
      </c>
      <c r="J20" s="350" t="s">
        <v>15506</v>
      </c>
      <c r="K20" s="267"/>
      <c r="L20" s="267"/>
      <c r="M20" s="267"/>
      <c r="N20" s="267"/>
      <c r="O20" s="267"/>
      <c r="P20" s="219"/>
      <c r="Q20" s="268"/>
      <c r="R20" s="216" t="str">
        <f ca="1">IF(ISERROR($V20),"",OFFSET('Smelter Look-up'!$C$4,$V20-4,0)&amp;"")</f>
        <v>Gejiu Zili Mining And Metallurgy Co., Ltd.</v>
      </c>
      <c r="S20" s="224" t="str">
        <f t="shared" ca="1" si="0"/>
        <v>CN</v>
      </c>
      <c r="T20" s="224" t="str">
        <f ca="1">IF(B20="","",IF(ISERROR(MATCH($J20,SorP!$B$1:$B$6230,0)),"",INDIRECT("'SorP'!$A$"&amp;MATCH($J20,SorP!$B$1:$B$6230,0))))</f>
        <v/>
      </c>
      <c r="U20" s="239"/>
      <c r="V20" s="269">
        <f>IF(C20="",NA(),MATCH($B20&amp;$C20,'Smelter Look-up'!$J:$J,0))</f>
        <v>395</v>
      </c>
      <c r="W20" s="270"/>
      <c r="X20" s="270">
        <f t="shared" si="1"/>
        <v>0</v>
      </c>
      <c r="Y20" s="270"/>
      <c r="Z20" s="270"/>
      <c r="AB20" s="272" t="str">
        <f t="shared" si="2"/>
        <v>TinGejiu Zi-Li</v>
      </c>
    </row>
    <row r="21" spans="1:28" s="271" customFormat="1" ht="67.5">
      <c r="A21" s="215"/>
      <c r="B21" s="347" t="s">
        <v>1251</v>
      </c>
      <c r="C21" s="347" t="s">
        <v>14250</v>
      </c>
      <c r="D21" s="348" t="s">
        <v>14250</v>
      </c>
      <c r="E21" s="348" t="s">
        <v>1225</v>
      </c>
      <c r="F21" s="348" t="s">
        <v>881</v>
      </c>
      <c r="G21" s="348" t="s">
        <v>15496</v>
      </c>
      <c r="H21" s="349">
        <v>0</v>
      </c>
      <c r="I21" s="350" t="s">
        <v>15507</v>
      </c>
      <c r="J21" s="350" t="s">
        <v>15508</v>
      </c>
      <c r="K21" s="267"/>
      <c r="L21" s="267"/>
      <c r="M21" s="267"/>
      <c r="N21" s="267"/>
      <c r="O21" s="267"/>
      <c r="P21" s="219"/>
      <c r="Q21" s="268"/>
      <c r="R21" s="216" t="str">
        <f ca="1">IF(ISERROR($V21),"",OFFSET('Smelter Look-up'!$C$4,$V21-4,0)&amp;"")</f>
        <v>PT Belitung Industri Sejahtera</v>
      </c>
      <c r="S21" s="224" t="str">
        <f t="shared" ca="1" si="0"/>
        <v>ID</v>
      </c>
      <c r="T21" s="224" t="str">
        <f ca="1">IF(B21="","",IF(ISERROR(MATCH($J21,SorP!$B$1:$B$6230,0)),"",INDIRECT("'SorP'!$A$"&amp;MATCH($J21,SorP!$B$1:$B$6230,0))))</f>
        <v/>
      </c>
      <c r="U21" s="239"/>
      <c r="V21" s="269">
        <f>IF(C21="",NA(),MATCH($B21&amp;$C21,'Smelter Look-up'!$J:$J,0))</f>
        <v>451</v>
      </c>
      <c r="W21" s="270"/>
      <c r="X21" s="270">
        <f t="shared" si="1"/>
        <v>0</v>
      </c>
      <c r="Y21" s="270"/>
      <c r="Z21" s="270"/>
      <c r="AB21" s="272" t="str">
        <f t="shared" si="2"/>
        <v>TinPT Belitung Industri Sejahtera</v>
      </c>
    </row>
    <row r="22" spans="1:28" s="271" customFormat="1" ht="81">
      <c r="A22" s="215"/>
      <c r="B22" s="347" t="s">
        <v>1251</v>
      </c>
      <c r="C22" s="347" t="s">
        <v>15509</v>
      </c>
      <c r="D22" s="348" t="s">
        <v>1148</v>
      </c>
      <c r="E22" s="348" t="s">
        <v>1004</v>
      </c>
      <c r="F22" s="348" t="s">
        <v>896</v>
      </c>
      <c r="G22" s="348" t="s">
        <v>15496</v>
      </c>
      <c r="H22" s="349" t="s">
        <v>15494</v>
      </c>
      <c r="I22" s="350" t="s">
        <v>15494</v>
      </c>
      <c r="J22" s="350" t="s">
        <v>15494</v>
      </c>
      <c r="K22" s="267"/>
      <c r="L22" s="267"/>
      <c r="M22" s="267"/>
      <c r="N22" s="267"/>
      <c r="O22" s="267"/>
      <c r="P22" s="219"/>
      <c r="Q22" s="268"/>
      <c r="R22" s="216" t="str">
        <f ca="1">IF(ISERROR($V22),"",OFFSET('Smelter Look-up'!$C$4,$V22-4,0)&amp;"")</f>
        <v/>
      </c>
      <c r="S22" s="224" t="str">
        <f t="shared" ca="1" si="0"/>
        <v>TH</v>
      </c>
      <c r="T22" s="224" t="str">
        <f ca="1">IF(B22="","",IF(ISERROR(MATCH($J22,SorP!$B$1:$B$6230,0)),"",INDIRECT("'SorP'!$A$"&amp;MATCH($J22,SorP!$B$1:$B$6230,0))))</f>
        <v/>
      </c>
      <c r="U22" s="239"/>
      <c r="V22" s="269" t="e">
        <f>IF(C22="",NA(),MATCH($B22&amp;$C22,'Smelter Look-up'!$J:$J,0))</f>
        <v>#N/A</v>
      </c>
      <c r="W22" s="270"/>
      <c r="X22" s="270">
        <f t="shared" si="1"/>
        <v>0</v>
      </c>
      <c r="Y22" s="270"/>
      <c r="Z22" s="270"/>
      <c r="AB22" s="272" t="str">
        <f t="shared" si="2"/>
        <v>TinThailand Smelting &amp; Refining Co., Ltd</v>
      </c>
    </row>
    <row r="23" spans="1:28" s="271" customFormat="1" ht="67.5">
      <c r="A23" s="215"/>
      <c r="B23" s="347" t="s">
        <v>1251</v>
      </c>
      <c r="C23" s="347" t="s">
        <v>15510</v>
      </c>
      <c r="D23" s="348" t="s">
        <v>15511</v>
      </c>
      <c r="E23" s="348" t="s">
        <v>1225</v>
      </c>
      <c r="F23" s="348" t="s">
        <v>891</v>
      </c>
      <c r="G23" s="348" t="s">
        <v>15496</v>
      </c>
      <c r="H23" s="349" t="s">
        <v>15494</v>
      </c>
      <c r="I23" s="350" t="s">
        <v>15494</v>
      </c>
      <c r="J23" s="350" t="s">
        <v>15494</v>
      </c>
      <c r="K23" s="267"/>
      <c r="L23" s="267"/>
      <c r="M23" s="267"/>
      <c r="N23" s="267"/>
      <c r="O23" s="267"/>
      <c r="P23" s="219"/>
      <c r="Q23" s="268"/>
      <c r="R23" s="216" t="str">
        <f ca="1">IF(ISERROR($V23),"",OFFSET('Smelter Look-up'!$C$4,$V23-4,0)&amp;"")</f>
        <v/>
      </c>
      <c r="S23" s="224" t="str">
        <f t="shared" ca="1" si="0"/>
        <v>ID</v>
      </c>
      <c r="T23" s="224" t="str">
        <f ca="1">IF(B23="","",IF(ISERROR(MATCH($J23,SorP!$B$1:$B$6230,0)),"",INDIRECT("'SorP'!$A$"&amp;MATCH($J23,SorP!$B$1:$B$6230,0))))</f>
        <v/>
      </c>
      <c r="U23" s="239"/>
      <c r="V23" s="269" t="e">
        <f>IF(C23="",NA(),MATCH($B23&amp;$C23,'Smelter Look-up'!$J:$J,0))</f>
        <v>#N/A</v>
      </c>
      <c r="W23" s="270"/>
      <c r="X23" s="270">
        <f t="shared" si="1"/>
        <v>0</v>
      </c>
      <c r="Y23" s="270"/>
      <c r="Z23" s="270"/>
      <c r="AB23" s="272" t="str">
        <f t="shared" si="2"/>
        <v>TinMentok Smelter (PT Timah)</v>
      </c>
    </row>
    <row r="24" spans="1:28" s="271" customFormat="1" ht="67.5">
      <c r="A24" s="215"/>
      <c r="B24" s="347" t="s">
        <v>1251</v>
      </c>
      <c r="C24" s="347" t="s">
        <v>14250</v>
      </c>
      <c r="D24" s="348" t="s">
        <v>14250</v>
      </c>
      <c r="E24" s="348" t="s">
        <v>1225</v>
      </c>
      <c r="F24" s="348" t="s">
        <v>881</v>
      </c>
      <c r="G24" s="348" t="s">
        <v>15496</v>
      </c>
      <c r="H24" s="349">
        <v>0</v>
      </c>
      <c r="I24" s="350" t="s">
        <v>15507</v>
      </c>
      <c r="J24" s="350" t="s">
        <v>15508</v>
      </c>
      <c r="K24" s="267"/>
      <c r="L24" s="267"/>
      <c r="M24" s="267"/>
      <c r="N24" s="267"/>
      <c r="O24" s="267"/>
      <c r="P24" s="219"/>
      <c r="Q24" s="268"/>
      <c r="R24" s="216" t="str">
        <f ca="1">IF(ISERROR($V24),"",OFFSET('Smelter Look-up'!$C$4,$V24-4,0)&amp;"")</f>
        <v>PT Belitung Industri Sejahtera</v>
      </c>
      <c r="S24" s="224" t="str">
        <f t="shared" ca="1" si="0"/>
        <v>ID</v>
      </c>
      <c r="T24" s="224" t="str">
        <f ca="1">IF(B24="","",IF(ISERROR(MATCH($J24,SorP!$B$1:$B$6230,0)),"",INDIRECT("'SorP'!$A$"&amp;MATCH($J24,SorP!$B$1:$B$6230,0))))</f>
        <v/>
      </c>
      <c r="U24" s="239"/>
      <c r="V24" s="269">
        <f>IF(C24="",NA(),MATCH($B24&amp;$C24,'Smelter Look-up'!$J:$J,0))</f>
        <v>451</v>
      </c>
      <c r="W24" s="270"/>
      <c r="X24" s="270">
        <f t="shared" si="1"/>
        <v>0</v>
      </c>
      <c r="Y24" s="270"/>
      <c r="Z24" s="270"/>
      <c r="AB24" s="272" t="str">
        <f t="shared" si="2"/>
        <v>TinPT Belitung Industri Sejahtera</v>
      </c>
    </row>
    <row r="25" spans="1:28" s="271" customFormat="1" ht="81">
      <c r="A25" s="215"/>
      <c r="B25" s="347" t="s">
        <v>1251</v>
      </c>
      <c r="C25" s="347" t="s">
        <v>15509</v>
      </c>
      <c r="D25" s="348" t="s">
        <v>1148</v>
      </c>
      <c r="E25" s="348" t="s">
        <v>1004</v>
      </c>
      <c r="F25" s="348" t="s">
        <v>896</v>
      </c>
      <c r="G25" s="348" t="s">
        <v>15496</v>
      </c>
      <c r="H25" s="349" t="s">
        <v>15494</v>
      </c>
      <c r="I25" s="350" t="s">
        <v>15494</v>
      </c>
      <c r="J25" s="350" t="s">
        <v>15494</v>
      </c>
      <c r="K25" s="267"/>
      <c r="L25" s="267"/>
      <c r="M25" s="267"/>
      <c r="N25" s="267"/>
      <c r="O25" s="267"/>
      <c r="P25" s="219"/>
      <c r="Q25" s="268"/>
      <c r="R25" s="216" t="str">
        <f ca="1">IF(ISERROR($V25),"",OFFSET('Smelter Look-up'!$C$4,$V25-4,0)&amp;"")</f>
        <v/>
      </c>
      <c r="S25" s="224" t="str">
        <f t="shared" ca="1" si="0"/>
        <v>TH</v>
      </c>
      <c r="T25" s="224" t="str">
        <f ca="1">IF(B25="","",IF(ISERROR(MATCH($J25,SorP!$B$1:$B$6230,0)),"",INDIRECT("'SorP'!$A$"&amp;MATCH($J25,SorP!$B$1:$B$6230,0))))</f>
        <v/>
      </c>
      <c r="U25" s="239"/>
      <c r="V25" s="269" t="e">
        <f>IF(C25="",NA(),MATCH($B25&amp;$C25,'Smelter Look-up'!$J:$J,0))</f>
        <v>#N/A</v>
      </c>
      <c r="W25" s="270"/>
      <c r="X25" s="270">
        <f t="shared" si="1"/>
        <v>0</v>
      </c>
      <c r="Y25" s="270"/>
      <c r="Z25" s="270"/>
      <c r="AB25" s="272" t="str">
        <f t="shared" si="2"/>
        <v>TinThailand Smelting &amp; Refining Co., Ltd</v>
      </c>
    </row>
    <row r="26" spans="1:28" s="271" customFormat="1" ht="20">
      <c r="A26" s="215"/>
      <c r="B26" s="347"/>
      <c r="C26" s="347"/>
      <c r="D26" s="348"/>
      <c r="E26" s="348"/>
      <c r="F26" s="348"/>
      <c r="G26" s="348"/>
      <c r="H26" s="349" t="s">
        <v>15494</v>
      </c>
      <c r="I26" s="350" t="s">
        <v>15494</v>
      </c>
      <c r="J26" s="350" t="s">
        <v>15494</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si="1"/>
        <v>0</v>
      </c>
      <c r="Y26" s="270"/>
      <c r="Z26" s="270"/>
      <c r="AB26" s="272" t="str">
        <f t="shared" si="2"/>
        <v/>
      </c>
    </row>
    <row r="27" spans="1:28" s="271" customFormat="1" ht="94.5">
      <c r="A27" s="215"/>
      <c r="B27" s="347" t="s">
        <v>1251</v>
      </c>
      <c r="C27" s="347" t="s">
        <v>1139</v>
      </c>
      <c r="D27" s="348" t="s">
        <v>957</v>
      </c>
      <c r="E27" s="348" t="s">
        <v>15499</v>
      </c>
      <c r="F27" s="348" t="s">
        <v>863</v>
      </c>
      <c r="G27" s="348" t="s">
        <v>15496</v>
      </c>
      <c r="H27" s="349">
        <v>0</v>
      </c>
      <c r="I27" s="350" t="s">
        <v>2019</v>
      </c>
      <c r="J27" s="350" t="s">
        <v>15500</v>
      </c>
      <c r="K27" s="267"/>
      <c r="L27" s="267"/>
      <c r="M27" s="267"/>
      <c r="N27" s="267"/>
      <c r="O27" s="267"/>
      <c r="P27" s="219"/>
      <c r="Q27" s="268"/>
      <c r="R27" s="216" t="str">
        <f ca="1">IF(ISERROR($V27),"",OFFSET('Smelter Look-up'!$C$4,$V27-4,0)&amp;"")</f>
        <v>EM Vinto</v>
      </c>
      <c r="S27" s="224" t="str">
        <f t="shared" ca="1" si="0"/>
        <v>Unknown</v>
      </c>
      <c r="T27" s="224" t="str">
        <f ca="1">IF(B27="","",IF(ISERROR(MATCH($J27,SorP!$B$1:$B$6230,0)),"",INDIRECT("'SorP'!$A$"&amp;MATCH($J27,SorP!$B$1:$B$6230,0))))</f>
        <v/>
      </c>
      <c r="U27" s="239"/>
      <c r="V27" s="269">
        <f>IF(C27="",NA(),MATCH($B27&amp;$C27,'Smelter Look-up'!$J:$J,0))</f>
        <v>382</v>
      </c>
      <c r="W27" s="270"/>
      <c r="X27" s="270">
        <f t="shared" si="1"/>
        <v>0</v>
      </c>
      <c r="Y27" s="270"/>
      <c r="Z27" s="270"/>
      <c r="AB27" s="272" t="str">
        <f t="shared" si="2"/>
        <v>TinEmpressa Nacional de Fundiciones (ENAF)</v>
      </c>
    </row>
    <row r="28" spans="1:28" s="271" customFormat="1" ht="27">
      <c r="A28" s="215"/>
      <c r="B28" s="347" t="s">
        <v>1251</v>
      </c>
      <c r="C28" s="347" t="s">
        <v>2546</v>
      </c>
      <c r="D28" s="348" t="s">
        <v>2546</v>
      </c>
      <c r="E28" s="348" t="s">
        <v>15499</v>
      </c>
      <c r="F28" s="348" t="s">
        <v>877</v>
      </c>
      <c r="G28" s="348" t="s">
        <v>15496</v>
      </c>
      <c r="H28" s="349">
        <v>0</v>
      </c>
      <c r="I28" s="350" t="s">
        <v>2019</v>
      </c>
      <c r="J28" s="350" t="s">
        <v>15500</v>
      </c>
      <c r="K28" s="267"/>
      <c r="L28" s="267"/>
      <c r="M28" s="267"/>
      <c r="N28" s="267"/>
      <c r="O28" s="267"/>
      <c r="P28" s="219"/>
      <c r="Q28" s="268"/>
      <c r="R28" s="216" t="str">
        <f ca="1">IF(ISERROR($V28),"",OFFSET('Smelter Look-up'!$C$4,$V28-4,0)&amp;"")</f>
        <v>Operaciones Metalurgicas S.A.</v>
      </c>
      <c r="S28" s="224" t="str">
        <f t="shared" ca="1" si="0"/>
        <v>Unknown</v>
      </c>
      <c r="T28" s="224" t="str">
        <f ca="1">IF(B28="","",IF(ISERROR(MATCH($J28,SorP!$B$1:$B$6230,0)),"",INDIRECT("'SorP'!$A$"&amp;MATCH($J28,SorP!$B$1:$B$6230,0))))</f>
        <v/>
      </c>
      <c r="U28" s="239"/>
      <c r="V28" s="269">
        <f>IF(C28="",NA(),MATCH($B28&amp;$C28,'Smelter Look-up'!$J:$J,0))</f>
        <v>437</v>
      </c>
      <c r="W28" s="270"/>
      <c r="X28" s="270">
        <f t="shared" si="1"/>
        <v>0</v>
      </c>
      <c r="Y28" s="270"/>
      <c r="Z28" s="270"/>
      <c r="AB28" s="272" t="str">
        <f t="shared" si="2"/>
        <v>TinOMSA</v>
      </c>
    </row>
    <row r="29" spans="1:28" s="271" customFormat="1" ht="20">
      <c r="A29" s="215"/>
      <c r="B29" s="347"/>
      <c r="C29" s="347"/>
      <c r="D29" s="348"/>
      <c r="E29" s="348"/>
      <c r="F29" s="348"/>
      <c r="G29" s="348"/>
      <c r="H29" s="349">
        <v>0</v>
      </c>
      <c r="I29" s="350">
        <v>0</v>
      </c>
      <c r="J29" s="350">
        <v>0</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si="1"/>
        <v>0</v>
      </c>
      <c r="Y29" s="270"/>
      <c r="Z29" s="270"/>
      <c r="AB29" s="272" t="str">
        <f t="shared" si="2"/>
        <v/>
      </c>
    </row>
    <row r="30" spans="1:28" s="271" customFormat="1" ht="108">
      <c r="A30" s="215"/>
      <c r="B30" s="347" t="s">
        <v>1251</v>
      </c>
      <c r="C30" s="347" t="s">
        <v>15512</v>
      </c>
      <c r="D30" s="348" t="s">
        <v>15511</v>
      </c>
      <c r="E30" s="348" t="s">
        <v>1225</v>
      </c>
      <c r="F30" s="348" t="s">
        <v>891</v>
      </c>
      <c r="G30" s="348" t="s">
        <v>15496</v>
      </c>
      <c r="H30" s="349" t="s">
        <v>15494</v>
      </c>
      <c r="I30" s="350" t="s">
        <v>15494</v>
      </c>
      <c r="J30" s="350" t="s">
        <v>15494</v>
      </c>
      <c r="K30" s="267"/>
      <c r="L30" s="267"/>
      <c r="M30" s="267"/>
      <c r="N30" s="267"/>
      <c r="O30" s="267"/>
      <c r="P30" s="219"/>
      <c r="Q30" s="268"/>
      <c r="R30" s="216" t="str">
        <f ca="1">IF(ISERROR($V30),"",OFFSET('Smelter Look-up'!$C$4,$V30-4,0)&amp;"")</f>
        <v/>
      </c>
      <c r="S30" s="224" t="str">
        <f t="shared" ca="1" si="0"/>
        <v>ID</v>
      </c>
      <c r="T30" s="224" t="str">
        <f ca="1">IF(B30="","",IF(ISERROR(MATCH($J30,SorP!$B$1:$B$6230,0)),"",INDIRECT("'SorP'!$A$"&amp;MATCH($J30,SorP!$B$1:$B$6230,0))))</f>
        <v/>
      </c>
      <c r="U30" s="239"/>
      <c r="V30" s="269" t="e">
        <f>IF(C30="",NA(),MATCH($B30&amp;$C30,'Smelter Look-up'!$J:$J,0))</f>
        <v>#N/A</v>
      </c>
      <c r="W30" s="270"/>
      <c r="X30" s="270">
        <f t="shared" si="1"/>
        <v>0</v>
      </c>
      <c r="Y30" s="270"/>
      <c r="Z30" s="270"/>
      <c r="AB30" s="272" t="str">
        <f t="shared" si="2"/>
        <v>TinIndonesia State Tin Corporation, MentokSmelter</v>
      </c>
    </row>
    <row r="31" spans="1:28" s="271" customFormat="1" ht="81">
      <c r="A31" s="215"/>
      <c r="B31" s="347" t="s">
        <v>1251</v>
      </c>
      <c r="C31" s="347" t="s">
        <v>934</v>
      </c>
      <c r="D31" s="348" t="s">
        <v>934</v>
      </c>
      <c r="E31" s="348" t="s">
        <v>1235</v>
      </c>
      <c r="F31" s="348" t="s">
        <v>871</v>
      </c>
      <c r="G31" s="348" t="s">
        <v>15496</v>
      </c>
      <c r="H31" s="349">
        <v>0</v>
      </c>
      <c r="I31" s="350" t="s">
        <v>2031</v>
      </c>
      <c r="J31" s="350" t="s">
        <v>15497</v>
      </c>
      <c r="K31" s="267"/>
      <c r="L31" s="267"/>
      <c r="M31" s="267"/>
      <c r="N31" s="267"/>
      <c r="O31" s="267"/>
      <c r="P31" s="219"/>
      <c r="Q31" s="268"/>
      <c r="R31" s="216" t="str">
        <f ca="1">IF(ISERROR($V31),"",OFFSET('Smelter Look-up'!$C$4,$V31-4,0)&amp;"")</f>
        <v>Malaysia Smelting Corporation (MSC)</v>
      </c>
      <c r="S31" s="224" t="str">
        <f t="shared" ca="1" si="0"/>
        <v>MY</v>
      </c>
      <c r="T31" s="224" t="str">
        <f ca="1">IF(B31="","",IF(ISERROR(MATCH($J31,SorP!$B$1:$B$6230,0)),"",INDIRECT("'SorP'!$A$"&amp;MATCH($J31,SorP!$B$1:$B$6230,0))))</f>
        <v/>
      </c>
      <c r="U31" s="239"/>
      <c r="V31" s="269">
        <f>IF(C31="",NA(),MATCH($B31&amp;$C31,'Smelter Look-up'!$J:$J,0))</f>
        <v>418</v>
      </c>
      <c r="W31" s="270"/>
      <c r="X31" s="270">
        <f t="shared" si="1"/>
        <v>0</v>
      </c>
      <c r="Y31" s="270"/>
      <c r="Z31" s="270"/>
      <c r="AB31" s="272" t="str">
        <f t="shared" si="2"/>
        <v>TinMalaysia Smelting Corporation (MSC)</v>
      </c>
    </row>
    <row r="32" spans="1:28" s="271" customFormat="1" ht="81">
      <c r="A32" s="215"/>
      <c r="B32" s="347" t="s">
        <v>1251</v>
      </c>
      <c r="C32" s="347" t="s">
        <v>15509</v>
      </c>
      <c r="D32" s="348" t="s">
        <v>1148</v>
      </c>
      <c r="E32" s="348" t="s">
        <v>1004</v>
      </c>
      <c r="F32" s="348" t="s">
        <v>896</v>
      </c>
      <c r="G32" s="348" t="s">
        <v>15496</v>
      </c>
      <c r="H32" s="349" t="s">
        <v>15494</v>
      </c>
      <c r="I32" s="350" t="s">
        <v>15494</v>
      </c>
      <c r="J32" s="350" t="s">
        <v>15494</v>
      </c>
      <c r="K32" s="267"/>
      <c r="L32" s="267"/>
      <c r="M32" s="267"/>
      <c r="N32" s="267"/>
      <c r="O32" s="267"/>
      <c r="P32" s="219"/>
      <c r="Q32" s="268"/>
      <c r="R32" s="216" t="str">
        <f ca="1">IF(ISERROR($V32),"",OFFSET('Smelter Look-up'!$C$4,$V32-4,0)&amp;"")</f>
        <v/>
      </c>
      <c r="S32" s="224" t="str">
        <f t="shared" ca="1" si="0"/>
        <v>TH</v>
      </c>
      <c r="T32" s="224" t="str">
        <f ca="1">IF(B32="","",IF(ISERROR(MATCH($J32,SorP!$B$1:$B$6230,0)),"",INDIRECT("'SorP'!$A$"&amp;MATCH($J32,SorP!$B$1:$B$6230,0))))</f>
        <v/>
      </c>
      <c r="U32" s="239"/>
      <c r="V32" s="269" t="e">
        <f>IF(C32="",NA(),MATCH($B32&amp;$C32,'Smelter Look-up'!$J:$J,0))</f>
        <v>#N/A</v>
      </c>
      <c r="W32" s="270"/>
      <c r="X32" s="270">
        <f t="shared" si="1"/>
        <v>0</v>
      </c>
      <c r="Y32" s="270"/>
      <c r="Z32" s="270"/>
      <c r="AB32" s="272" t="str">
        <f t="shared" si="2"/>
        <v>TinThailand Smelting &amp; Refining Co., Ltd</v>
      </c>
    </row>
    <row r="33" spans="1:28" s="271" customFormat="1" ht="54">
      <c r="A33" s="215"/>
      <c r="B33" s="347" t="s">
        <v>1251</v>
      </c>
      <c r="C33" s="347" t="s">
        <v>1284</v>
      </c>
      <c r="D33" s="348" t="s">
        <v>1284</v>
      </c>
      <c r="E33" s="348" t="s">
        <v>1225</v>
      </c>
      <c r="F33" s="348" t="s">
        <v>890</v>
      </c>
      <c r="G33" s="348" t="s">
        <v>15496</v>
      </c>
      <c r="H33" s="349">
        <v>0</v>
      </c>
      <c r="I33" s="350" t="s">
        <v>2017</v>
      </c>
      <c r="J33" s="350" t="s">
        <v>15508</v>
      </c>
      <c r="K33" s="267"/>
      <c r="L33" s="267"/>
      <c r="M33" s="267"/>
      <c r="N33" s="267"/>
      <c r="O33" s="267"/>
      <c r="P33" s="219"/>
      <c r="Q33" s="268"/>
      <c r="R33" s="216" t="str">
        <f ca="1">IF(ISERROR($V33),"",OFFSET('Smelter Look-up'!$C$4,$V33-4,0)&amp;"")</f>
        <v>PT Stanindo Inti Perkasa</v>
      </c>
      <c r="S33" s="224" t="str">
        <f t="shared" ca="1" si="0"/>
        <v>ID</v>
      </c>
      <c r="T33" s="224" t="str">
        <f ca="1">IF(B33="","",IF(ISERROR(MATCH($J33,SorP!$B$1:$B$6230,0)),"",INDIRECT("'SorP'!$A$"&amp;MATCH($J33,SorP!$B$1:$B$6230,0))))</f>
        <v/>
      </c>
      <c r="U33" s="239"/>
      <c r="V33" s="269">
        <f>IF(C33="",NA(),MATCH($B33&amp;$C33,'Smelter Look-up'!$J:$J,0))</f>
        <v>468</v>
      </c>
      <c r="W33" s="270"/>
      <c r="X33" s="270">
        <f t="shared" si="1"/>
        <v>0</v>
      </c>
      <c r="Y33" s="270"/>
      <c r="Z33" s="270"/>
      <c r="AB33" s="272" t="str">
        <f t="shared" si="2"/>
        <v>TinPT Stanindo Inti Perkasa</v>
      </c>
    </row>
    <row r="34" spans="1:28" s="271" customFormat="1" ht="40.5">
      <c r="A34" s="215"/>
      <c r="B34" s="347" t="s">
        <v>1251</v>
      </c>
      <c r="C34" s="347" t="s">
        <v>15513</v>
      </c>
      <c r="D34" s="348" t="s">
        <v>1457</v>
      </c>
      <c r="E34" s="348" t="s">
        <v>1220</v>
      </c>
      <c r="F34" s="348" t="s">
        <v>870</v>
      </c>
      <c r="G34" s="348" t="s">
        <v>15496</v>
      </c>
      <c r="H34" s="349" t="s">
        <v>15494</v>
      </c>
      <c r="I34" s="350" t="s">
        <v>15494</v>
      </c>
      <c r="J34" s="350" t="s">
        <v>15494</v>
      </c>
      <c r="K34" s="267"/>
      <c r="L34" s="267"/>
      <c r="M34" s="267"/>
      <c r="N34" s="267"/>
      <c r="O34" s="267"/>
      <c r="P34" s="219"/>
      <c r="Q34" s="268"/>
      <c r="R34" s="216" t="str">
        <f ca="1">IF(ISERROR($V34),"",OFFSET('Smelter Look-up'!$C$4,$V34-4,0)&amp;"")</f>
        <v/>
      </c>
      <c r="S34" s="224" t="str">
        <f t="shared" ca="1" si="0"/>
        <v>CN</v>
      </c>
      <c r="T34" s="224" t="str">
        <f ca="1">IF(B34="","",IF(ISERROR(MATCH($J34,SorP!$B$1:$B$6230,0)),"",INDIRECT("'SorP'!$A$"&amp;MATCH($J34,SorP!$B$1:$B$6230,0))))</f>
        <v/>
      </c>
      <c r="U34" s="239"/>
      <c r="V34" s="269" t="e">
        <f>IF(C34="",NA(),MATCH($B34&amp;$C34,'Smelter Look-up'!$J:$J,0))</f>
        <v>#N/A</v>
      </c>
      <c r="W34" s="270"/>
      <c r="X34" s="270">
        <f t="shared" si="1"/>
        <v>0</v>
      </c>
      <c r="Y34" s="270"/>
      <c r="Z34" s="270"/>
      <c r="AB34" s="272" t="str">
        <f t="shared" si="2"/>
        <v>TinLiuzhou China Tin</v>
      </c>
    </row>
    <row r="35" spans="1:28" s="271" customFormat="1" ht="121.5">
      <c r="A35" s="215"/>
      <c r="B35" s="347" t="s">
        <v>1251</v>
      </c>
      <c r="C35" s="347" t="s">
        <v>15514</v>
      </c>
      <c r="D35" s="348" t="s">
        <v>55</v>
      </c>
      <c r="E35" s="348" t="s">
        <v>1220</v>
      </c>
      <c r="F35" s="348" t="s">
        <v>899</v>
      </c>
      <c r="G35" s="348" t="s">
        <v>15496</v>
      </c>
      <c r="H35" s="349" t="s">
        <v>15494</v>
      </c>
      <c r="I35" s="350" t="s">
        <v>15494</v>
      </c>
      <c r="J35" s="350" t="s">
        <v>15494</v>
      </c>
      <c r="K35" s="267"/>
      <c r="L35" s="267"/>
      <c r="M35" s="267"/>
      <c r="N35" s="267"/>
      <c r="O35" s="267"/>
      <c r="P35" s="219"/>
      <c r="Q35" s="268"/>
      <c r="R35" s="216" t="str">
        <f ca="1">IF(ISERROR($V35),"",OFFSET('Smelter Look-up'!$C$4,$V35-4,0)&amp;"")</f>
        <v/>
      </c>
      <c r="S35" s="224" t="str">
        <f t="shared" ca="1" si="0"/>
        <v>CN</v>
      </c>
      <c r="T35" s="224" t="str">
        <f ca="1">IF(B35="","",IF(ISERROR(MATCH($J35,SorP!$B$1:$B$6230,0)),"",INDIRECT("'SorP'!$A$"&amp;MATCH($J35,SorP!$B$1:$B$6230,0))))</f>
        <v/>
      </c>
      <c r="U35" s="239"/>
      <c r="V35" s="269" t="e">
        <f>IF(C35="",NA(),MATCH($B35&amp;$C35,'Smelter Look-up'!$J:$J,0))</f>
        <v>#N/A</v>
      </c>
      <c r="W35" s="270"/>
      <c r="X35" s="270">
        <f t="shared" si="1"/>
        <v>0</v>
      </c>
      <c r="Y35" s="270"/>
      <c r="Z35" s="270"/>
      <c r="AB35" s="272" t="str">
        <f t="shared" si="2"/>
        <v>TinSmelting Branch of Yunnan Tin Company Limited</v>
      </c>
    </row>
    <row r="36" spans="1:28" s="271" customFormat="1" ht="40.5">
      <c r="A36" s="215"/>
      <c r="B36" s="347" t="s">
        <v>1251</v>
      </c>
      <c r="C36" s="347" t="s">
        <v>1058</v>
      </c>
      <c r="D36" s="348" t="s">
        <v>2545</v>
      </c>
      <c r="E36" s="348" t="s">
        <v>1225</v>
      </c>
      <c r="F36" s="348" t="s">
        <v>15515</v>
      </c>
      <c r="G36" s="348" t="s">
        <v>15516</v>
      </c>
      <c r="H36" s="349">
        <v>0</v>
      </c>
      <c r="I36" s="350">
        <v>0</v>
      </c>
      <c r="J36" s="350">
        <v>0</v>
      </c>
      <c r="K36" s="267"/>
      <c r="L36" s="267"/>
      <c r="M36" s="267"/>
      <c r="N36" s="267"/>
      <c r="O36" s="267"/>
      <c r="P36" s="219"/>
      <c r="Q36" s="268"/>
      <c r="R36" s="216" t="str">
        <f ca="1">IF(ISERROR($V36),"",OFFSET('Smelter Look-up'!$C$4,$V36-4,0)&amp;"")</f>
        <v/>
      </c>
      <c r="S36" s="224" t="str">
        <f t="shared" ca="1" si="0"/>
        <v>ID</v>
      </c>
      <c r="T36" s="224" t="str">
        <f ca="1">IF(B36="","",IF(ISERROR(MATCH($J36,SorP!$B$1:$B$6230,0)),"",INDIRECT("'SorP'!$A$"&amp;MATCH($J36,SorP!$B$1:$B$6230,0))))</f>
        <v/>
      </c>
      <c r="U36" s="239"/>
      <c r="V36" s="269">
        <f>IF(C36="",NA(),MATCH($B36&amp;$C36,'Smelter Look-up'!$J:$J,0))</f>
        <v>514</v>
      </c>
      <c r="W36" s="270"/>
      <c r="X36" s="270">
        <f t="shared" si="1"/>
        <v>0</v>
      </c>
      <c r="Y36" s="270"/>
      <c r="Z36" s="270"/>
      <c r="AB36" s="272" t="str">
        <f t="shared" si="2"/>
        <v>TinSmelter Not Listed</v>
      </c>
    </row>
    <row r="37" spans="1:28" s="271" customFormat="1" ht="40.5">
      <c r="A37" s="215"/>
      <c r="B37" s="347" t="s">
        <v>1251</v>
      </c>
      <c r="C37" s="347" t="s">
        <v>15517</v>
      </c>
      <c r="D37" s="348" t="s">
        <v>698</v>
      </c>
      <c r="E37" s="348" t="s">
        <v>1225</v>
      </c>
      <c r="F37" s="348" t="s">
        <v>883</v>
      </c>
      <c r="G37" s="348" t="s">
        <v>15496</v>
      </c>
      <c r="H37" s="349" t="s">
        <v>15494</v>
      </c>
      <c r="I37" s="350" t="s">
        <v>15494</v>
      </c>
      <c r="J37" s="350" t="s">
        <v>15494</v>
      </c>
      <c r="K37" s="267"/>
      <c r="L37" s="267"/>
      <c r="M37" s="267"/>
      <c r="N37" s="267"/>
      <c r="O37" s="267"/>
      <c r="P37" s="219"/>
      <c r="Q37" s="268"/>
      <c r="R37" s="216" t="str">
        <f ca="1">IF(ISERROR($V37),"",OFFSET('Smelter Look-up'!$C$4,$V37-4,0)&amp;"")</f>
        <v/>
      </c>
      <c r="S37" s="224" t="str">
        <f t="shared" ca="1" si="0"/>
        <v>ID</v>
      </c>
      <c r="T37" s="224" t="str">
        <f ca="1">IF(B37="","",IF(ISERROR(MATCH($J37,SorP!$B$1:$B$6230,0)),"",INDIRECT("'SorP'!$A$"&amp;MATCH($J37,SorP!$B$1:$B$6230,0))))</f>
        <v/>
      </c>
      <c r="U37" s="239"/>
      <c r="V37" s="269" t="e">
        <f>IF(C37="",NA(),MATCH($B37&amp;$C37,'Smelter Look-up'!$J:$J,0))</f>
        <v>#N/A</v>
      </c>
      <c r="W37" s="270"/>
      <c r="X37" s="270">
        <f t="shared" si="1"/>
        <v>0</v>
      </c>
      <c r="Y37" s="270"/>
      <c r="Z37" s="270"/>
      <c r="AB37" s="272" t="str">
        <f t="shared" si="2"/>
        <v>TinCV DS Jaya Abadi</v>
      </c>
    </row>
    <row r="38" spans="1:28" s="271" customFormat="1" ht="40.5">
      <c r="A38" s="215"/>
      <c r="B38" s="347" t="s">
        <v>1251</v>
      </c>
      <c r="C38" s="347" t="s">
        <v>956</v>
      </c>
      <c r="D38" s="348" t="s">
        <v>956</v>
      </c>
      <c r="E38" s="348" t="s">
        <v>1225</v>
      </c>
      <c r="F38" s="348" t="s">
        <v>862</v>
      </c>
      <c r="G38" s="348" t="s">
        <v>15496</v>
      </c>
      <c r="H38" s="349">
        <v>0</v>
      </c>
      <c r="I38" s="350" t="s">
        <v>2017</v>
      </c>
      <c r="J38" s="350" t="s">
        <v>15508</v>
      </c>
      <c r="K38" s="267"/>
      <c r="L38" s="267"/>
      <c r="M38" s="267"/>
      <c r="N38" s="267"/>
      <c r="O38" s="267"/>
      <c r="P38" s="219"/>
      <c r="Q38" s="268"/>
      <c r="R38" s="216" t="str">
        <f ca="1">IF(ISERROR($V38),"",OFFSET('Smelter Look-up'!$C$4,$V38-4,0)&amp;"")</f>
        <v>CV United Smelting</v>
      </c>
      <c r="S38" s="224" t="str">
        <f t="shared" ca="1" si="0"/>
        <v>ID</v>
      </c>
      <c r="T38" s="224" t="str">
        <f ca="1">IF(B38="","",IF(ISERROR(MATCH($J38,SorP!$B$1:$B$6230,0)),"",INDIRECT("'SorP'!$A$"&amp;MATCH($J38,SorP!$B$1:$B$6230,0))))</f>
        <v/>
      </c>
      <c r="U38" s="239"/>
      <c r="V38" s="269">
        <f>IF(C38="",NA(),MATCH($B38&amp;$C38,'Smelter Look-up'!$J:$J,0))</f>
        <v>374</v>
      </c>
      <c r="W38" s="270"/>
      <c r="X38" s="270">
        <f t="shared" si="1"/>
        <v>0</v>
      </c>
      <c r="Y38" s="270"/>
      <c r="Z38" s="270"/>
      <c r="AB38" s="272" t="str">
        <f t="shared" si="2"/>
        <v>TinCV United Smelting</v>
      </c>
    </row>
    <row r="39" spans="1:28" s="271" customFormat="1" ht="94.5">
      <c r="A39" s="215"/>
      <c r="B39" s="347" t="s">
        <v>1251</v>
      </c>
      <c r="C39" s="347" t="s">
        <v>15518</v>
      </c>
      <c r="D39" s="348" t="s">
        <v>15518</v>
      </c>
      <c r="E39" s="348" t="s">
        <v>1220</v>
      </c>
      <c r="F39" s="348" t="s">
        <v>866</v>
      </c>
      <c r="G39" s="348" t="s">
        <v>15496</v>
      </c>
      <c r="H39" s="349" t="s">
        <v>15494</v>
      </c>
      <c r="I39" s="350" t="s">
        <v>15494</v>
      </c>
      <c r="J39" s="350" t="s">
        <v>15494</v>
      </c>
      <c r="K39" s="267"/>
      <c r="L39" s="267"/>
      <c r="M39" s="267"/>
      <c r="N39" s="267"/>
      <c r="O39" s="267"/>
      <c r="P39" s="219"/>
      <c r="Q39" s="268"/>
      <c r="R39" s="216" t="str">
        <f ca="1">IF(ISERROR($V39),"",OFFSET('Smelter Look-up'!$C$4,$V39-4,0)&amp;"")</f>
        <v/>
      </c>
      <c r="S39" s="224" t="str">
        <f t="shared" ca="1" si="0"/>
        <v>CN</v>
      </c>
      <c r="T39" s="224" t="str">
        <f ca="1">IF(B39="","",IF(ISERROR(MATCH($J39,SorP!$B$1:$B$6230,0)),"",INDIRECT("'SorP'!$A$"&amp;MATCH($J39,SorP!$B$1:$B$6230,0))))</f>
        <v/>
      </c>
      <c r="U39" s="239"/>
      <c r="V39" s="269" t="e">
        <f>IF(C39="",NA(),MATCH($B39&amp;$C39,'Smelter Look-up'!$J:$J,0))</f>
        <v>#N/A</v>
      </c>
      <c r="W39" s="270"/>
      <c r="X39" s="270">
        <f t="shared" si="1"/>
        <v>0</v>
      </c>
      <c r="Y39" s="270"/>
      <c r="Z39" s="270"/>
      <c r="AB39" s="272" t="str">
        <f t="shared" si="2"/>
        <v>TinGejiu Non-Ferrous Metal Processing Co. Ltd.</v>
      </c>
    </row>
    <row r="40" spans="1:28" s="271" customFormat="1" ht="40.5">
      <c r="A40" s="215"/>
      <c r="B40" s="347" t="s">
        <v>1251</v>
      </c>
      <c r="C40" s="347" t="s">
        <v>1058</v>
      </c>
      <c r="D40" s="348" t="s">
        <v>15519</v>
      </c>
      <c r="E40" s="348" t="s">
        <v>1220</v>
      </c>
      <c r="F40" s="348" t="s">
        <v>15520</v>
      </c>
      <c r="G40" s="348" t="s">
        <v>15516</v>
      </c>
      <c r="H40" s="349">
        <v>0</v>
      </c>
      <c r="I40" s="350">
        <v>0</v>
      </c>
      <c r="J40" s="350">
        <v>0</v>
      </c>
      <c r="K40" s="267"/>
      <c r="L40" s="267"/>
      <c r="M40" s="267"/>
      <c r="N40" s="267"/>
      <c r="O40" s="267"/>
      <c r="P40" s="219"/>
      <c r="Q40" s="268"/>
      <c r="R40" s="216" t="str">
        <f ca="1">IF(ISERROR($V40),"",OFFSET('Smelter Look-up'!$C$4,$V40-4,0)&amp;"")</f>
        <v/>
      </c>
      <c r="S40" s="224" t="str">
        <f t="shared" ca="1" si="0"/>
        <v>CN</v>
      </c>
      <c r="T40" s="224" t="str">
        <f ca="1">IF(B40="","",IF(ISERROR(MATCH($J40,SorP!$B$1:$B$6230,0)),"",INDIRECT("'SorP'!$A$"&amp;MATCH($J40,SorP!$B$1:$B$6230,0))))</f>
        <v/>
      </c>
      <c r="U40" s="239"/>
      <c r="V40" s="269">
        <f>IF(C40="",NA(),MATCH($B40&amp;$C40,'Smelter Look-up'!$J:$J,0))</f>
        <v>514</v>
      </c>
      <c r="W40" s="270"/>
      <c r="X40" s="270">
        <f t="shared" si="1"/>
        <v>0</v>
      </c>
      <c r="Y40" s="270"/>
      <c r="Z40" s="270"/>
      <c r="AB40" s="272" t="str">
        <f t="shared" si="2"/>
        <v>TinSmelter Not Listed</v>
      </c>
    </row>
    <row r="41" spans="1:28" s="271" customFormat="1" ht="81">
      <c r="A41" s="215"/>
      <c r="B41" s="347" t="s">
        <v>1251</v>
      </c>
      <c r="C41" s="347" t="s">
        <v>1285</v>
      </c>
      <c r="D41" s="348" t="s">
        <v>1285</v>
      </c>
      <c r="E41" s="348" t="s">
        <v>1228</v>
      </c>
      <c r="F41" s="348" t="s">
        <v>874</v>
      </c>
      <c r="G41" s="348" t="s">
        <v>15496</v>
      </c>
      <c r="H41" s="349">
        <v>0</v>
      </c>
      <c r="I41" s="350" t="s">
        <v>2039</v>
      </c>
      <c r="J41" s="350" t="s">
        <v>1788</v>
      </c>
      <c r="K41" s="267"/>
      <c r="L41" s="267"/>
      <c r="M41" s="267"/>
      <c r="N41" s="267"/>
      <c r="O41" s="267"/>
      <c r="P41" s="219"/>
      <c r="Q41" s="268"/>
      <c r="R41" s="216" t="str">
        <f ca="1">IF(ISERROR($V41),"",OFFSET('Smelter Look-up'!$C$4,$V41-4,0)&amp;"")</f>
        <v>Mitsubishi Materials Corporation</v>
      </c>
      <c r="S41" s="224" t="str">
        <f t="shared" ca="1" si="0"/>
        <v>JP</v>
      </c>
      <c r="T41" s="224" t="str">
        <f ca="1">IF(B41="","",IF(ISERROR(MATCH($J41,SorP!$B$1:$B$6230,0)),"",INDIRECT("'SorP'!$A$"&amp;MATCH($J41,SorP!$B$1:$B$6230,0))))</f>
        <v>JP-28</v>
      </c>
      <c r="U41" s="239"/>
      <c r="V41" s="269">
        <f>IF(C41="",NA(),MATCH($B41&amp;$C41,'Smelter Look-up'!$J:$J,0))</f>
        <v>429</v>
      </c>
      <c r="W41" s="270"/>
      <c r="X41" s="270">
        <f t="shared" si="1"/>
        <v>0</v>
      </c>
      <c r="Y41" s="270"/>
      <c r="Z41" s="270"/>
      <c r="AB41" s="272" t="str">
        <f t="shared" si="2"/>
        <v>TinMitsubishi Materials Corporation</v>
      </c>
    </row>
    <row r="42" spans="1:28" s="271" customFormat="1" ht="67.5">
      <c r="A42" s="215"/>
      <c r="B42" s="347" t="s">
        <v>1251</v>
      </c>
      <c r="C42" s="347" t="s">
        <v>15521</v>
      </c>
      <c r="D42" s="348" t="s">
        <v>15521</v>
      </c>
      <c r="E42" s="348" t="s">
        <v>999</v>
      </c>
      <c r="F42" s="348" t="s">
        <v>15522</v>
      </c>
      <c r="G42" s="348" t="s">
        <v>15496</v>
      </c>
      <c r="H42" s="349" t="s">
        <v>15494</v>
      </c>
      <c r="I42" s="350" t="s">
        <v>15494</v>
      </c>
      <c r="J42" s="350" t="s">
        <v>15494</v>
      </c>
      <c r="K42" s="267"/>
      <c r="L42" s="267"/>
      <c r="M42" s="267"/>
      <c r="N42" s="267"/>
      <c r="O42" s="267"/>
      <c r="P42" s="219"/>
      <c r="Q42" s="268"/>
      <c r="R42" s="216" t="str">
        <f ca="1">IF(ISERROR($V42),"",OFFSET('Smelter Look-up'!$C$4,$V42-4,0)&amp;"")</f>
        <v/>
      </c>
      <c r="S42" s="224" t="str">
        <f t="shared" ca="1" si="0"/>
        <v>RU</v>
      </c>
      <c r="T42" s="224" t="str">
        <f ca="1">IF(B42="","",IF(ISERROR(MATCH($J42,SorP!$B$1:$B$6230,0)),"",INDIRECT("'SorP'!$A$"&amp;MATCH($J42,SorP!$B$1:$B$6230,0))))</f>
        <v/>
      </c>
      <c r="U42" s="239"/>
      <c r="V42" s="269" t="e">
        <f>IF(C42="",NA(),MATCH($B42&amp;$C42,'Smelter Look-up'!$J:$J,0))</f>
        <v>#N/A</v>
      </c>
      <c r="W42" s="270"/>
      <c r="X42" s="270">
        <f t="shared" si="1"/>
        <v>0</v>
      </c>
      <c r="Y42" s="270"/>
      <c r="Z42" s="270"/>
      <c r="AB42" s="272" t="str">
        <f t="shared" si="2"/>
        <v>TinNovosibirsk Integrated Tin Works</v>
      </c>
    </row>
    <row r="43" spans="1:28" s="271" customFormat="1" ht="40.5">
      <c r="A43" s="215"/>
      <c r="B43" s="347" t="s">
        <v>1251</v>
      </c>
      <c r="C43" s="347" t="s">
        <v>1058</v>
      </c>
      <c r="D43" s="348" t="s">
        <v>15523</v>
      </c>
      <c r="E43" s="348" t="s">
        <v>1225</v>
      </c>
      <c r="F43" s="348" t="s">
        <v>15524</v>
      </c>
      <c r="G43" s="348" t="s">
        <v>15516</v>
      </c>
      <c r="H43" s="349">
        <v>0</v>
      </c>
      <c r="I43" s="350">
        <v>0</v>
      </c>
      <c r="J43" s="350">
        <v>0</v>
      </c>
      <c r="K43" s="267"/>
      <c r="L43" s="267"/>
      <c r="M43" s="267"/>
      <c r="N43" s="267"/>
      <c r="O43" s="267"/>
      <c r="P43" s="219"/>
      <c r="Q43" s="268"/>
      <c r="R43" s="216" t="str">
        <f ca="1">IF(ISERROR($V43),"",OFFSET('Smelter Look-up'!$C$4,$V43-4,0)&amp;"")</f>
        <v/>
      </c>
      <c r="S43" s="224" t="str">
        <f t="shared" ca="1" si="0"/>
        <v>ID</v>
      </c>
      <c r="T43" s="224" t="str">
        <f ca="1">IF(B43="","",IF(ISERROR(MATCH($J43,SorP!$B$1:$B$6230,0)),"",INDIRECT("'SorP'!$A$"&amp;MATCH($J43,SorP!$B$1:$B$6230,0))))</f>
        <v/>
      </c>
      <c r="U43" s="239"/>
      <c r="V43" s="269">
        <f>IF(C43="",NA(),MATCH($B43&amp;$C43,'Smelter Look-up'!$J:$J,0))</f>
        <v>514</v>
      </c>
      <c r="W43" s="270"/>
      <c r="X43" s="270">
        <f t="shared" si="1"/>
        <v>0</v>
      </c>
      <c r="Y43" s="270"/>
      <c r="Z43" s="270"/>
      <c r="AB43" s="272" t="str">
        <f t="shared" si="2"/>
        <v>TinSmelter Not Listed</v>
      </c>
    </row>
    <row r="44" spans="1:28" s="271" customFormat="1" ht="54">
      <c r="A44" s="215"/>
      <c r="B44" s="347" t="s">
        <v>1251</v>
      </c>
      <c r="C44" s="347" t="s">
        <v>15525</v>
      </c>
      <c r="D44" s="348" t="s">
        <v>15525</v>
      </c>
      <c r="E44" s="348" t="s">
        <v>1225</v>
      </c>
      <c r="F44" s="348" t="s">
        <v>15526</v>
      </c>
      <c r="G44" s="348" t="s">
        <v>15496</v>
      </c>
      <c r="H44" s="349">
        <v>0</v>
      </c>
      <c r="I44" s="350" t="s">
        <v>2045</v>
      </c>
      <c r="J44" s="350" t="s">
        <v>2044</v>
      </c>
      <c r="K44" s="267"/>
      <c r="L44" s="267"/>
      <c r="M44" s="267"/>
      <c r="N44" s="267"/>
      <c r="O44" s="267"/>
      <c r="P44" s="219"/>
      <c r="Q44" s="268"/>
      <c r="R44" s="216" t="str">
        <f ca="1">IF(ISERROR($V44),"",OFFSET('Smelter Look-up'!$C$4,$V44-4,0)&amp;"")</f>
        <v/>
      </c>
      <c r="S44" s="224" t="str">
        <f t="shared" ca="1" si="0"/>
        <v>ID</v>
      </c>
      <c r="T44" s="224" t="str">
        <f ca="1">IF(B44="","",IF(ISERROR(MATCH($J44,SorP!$B$1:$B$6230,0)),"",INDIRECT("'SorP'!$A$"&amp;MATCH($J44,SorP!$B$1:$B$6230,0))))</f>
        <v>ID-KR</v>
      </c>
      <c r="U44" s="239"/>
      <c r="V44" s="269" t="e">
        <f>IF(C44="",NA(),MATCH($B44&amp;$C44,'Smelter Look-up'!$J:$J,0))</f>
        <v>#N/A</v>
      </c>
      <c r="W44" s="270"/>
      <c r="X44" s="270">
        <f t="shared" si="1"/>
        <v>0</v>
      </c>
      <c r="Y44" s="270"/>
      <c r="Z44" s="270"/>
      <c r="AB44" s="272" t="str">
        <f t="shared" si="2"/>
        <v>TinPT Eunindo Usaha Mandiri</v>
      </c>
    </row>
    <row r="45" spans="1:28" s="271" customFormat="1" ht="40.5">
      <c r="A45" s="215"/>
      <c r="B45" s="347" t="s">
        <v>1251</v>
      </c>
      <c r="C45" s="347" t="s">
        <v>1058</v>
      </c>
      <c r="D45" s="348" t="s">
        <v>15527</v>
      </c>
      <c r="E45" s="348" t="s">
        <v>1225</v>
      </c>
      <c r="F45" s="348" t="s">
        <v>15528</v>
      </c>
      <c r="G45" s="348" t="s">
        <v>15516</v>
      </c>
      <c r="H45" s="349">
        <v>0</v>
      </c>
      <c r="I45" s="350">
        <v>0</v>
      </c>
      <c r="J45" s="350">
        <v>0</v>
      </c>
      <c r="K45" s="267"/>
      <c r="L45" s="267"/>
      <c r="M45" s="267"/>
      <c r="N45" s="267"/>
      <c r="O45" s="267"/>
      <c r="P45" s="219"/>
      <c r="Q45" s="268"/>
      <c r="R45" s="216" t="str">
        <f ca="1">IF(ISERROR($V45),"",OFFSET('Smelter Look-up'!$C$4,$V45-4,0)&amp;"")</f>
        <v/>
      </c>
      <c r="S45" s="224" t="str">
        <f t="shared" ca="1" si="0"/>
        <v>ID</v>
      </c>
      <c r="T45" s="224" t="str">
        <f ca="1">IF(B45="","",IF(ISERROR(MATCH($J45,SorP!$B$1:$B$6230,0)),"",INDIRECT("'SorP'!$A$"&amp;MATCH($J45,SorP!$B$1:$B$6230,0))))</f>
        <v/>
      </c>
      <c r="U45" s="239"/>
      <c r="V45" s="269">
        <f>IF(C45="",NA(),MATCH($B45&amp;$C45,'Smelter Look-up'!$J:$J,0))</f>
        <v>514</v>
      </c>
      <c r="W45" s="270"/>
      <c r="X45" s="270">
        <f t="shared" si="1"/>
        <v>0</v>
      </c>
      <c r="Y45" s="270"/>
      <c r="Z45" s="270"/>
      <c r="AB45" s="272" t="str">
        <f t="shared" si="2"/>
        <v>TinSmelter Not Listed</v>
      </c>
    </row>
    <row r="46" spans="1:28" s="271" customFormat="1" ht="54">
      <c r="A46" s="215"/>
      <c r="B46" s="347" t="s">
        <v>1251</v>
      </c>
      <c r="C46" s="347" t="s">
        <v>600</v>
      </c>
      <c r="D46" s="348" t="s">
        <v>600</v>
      </c>
      <c r="E46" s="348" t="s">
        <v>1225</v>
      </c>
      <c r="F46" s="348" t="s">
        <v>892</v>
      </c>
      <c r="G46" s="348" t="s">
        <v>15496</v>
      </c>
      <c r="H46" s="349">
        <v>0</v>
      </c>
      <c r="I46" s="350" t="s">
        <v>2017</v>
      </c>
      <c r="J46" s="350" t="s">
        <v>15508</v>
      </c>
      <c r="K46" s="267"/>
      <c r="L46" s="267"/>
      <c r="M46" s="267"/>
      <c r="N46" s="267"/>
      <c r="O46" s="267"/>
      <c r="P46" s="219"/>
      <c r="Q46" s="268"/>
      <c r="R46" s="216" t="str">
        <f ca="1">IF(ISERROR($V46),"",OFFSET('Smelter Look-up'!$C$4,$V46-4,0)&amp;"")</f>
        <v>PT Tinindo Inter Nusa</v>
      </c>
      <c r="S46" s="224" t="str">
        <f t="shared" ca="1" si="0"/>
        <v>ID</v>
      </c>
      <c r="T46" s="224" t="str">
        <f ca="1">IF(B46="","",IF(ISERROR(MATCH($J46,SorP!$B$1:$B$6230,0)),"",INDIRECT("'SorP'!$A$"&amp;MATCH($J46,SorP!$B$1:$B$6230,0))))</f>
        <v/>
      </c>
      <c r="U46" s="239"/>
      <c r="V46" s="269">
        <f>IF(C46="",NA(),MATCH($B46&amp;$C46,'Smelter Look-up'!$J:$J,0))</f>
        <v>474</v>
      </c>
      <c r="W46" s="270"/>
      <c r="X46" s="270">
        <f t="shared" si="1"/>
        <v>0</v>
      </c>
      <c r="Y46" s="270"/>
      <c r="Z46" s="270"/>
      <c r="AB46" s="272" t="str">
        <f t="shared" si="2"/>
        <v>TinPT Tinindo Inter Nusa</v>
      </c>
    </row>
    <row r="47" spans="1:28" s="271" customFormat="1" ht="67.5">
      <c r="A47" s="215"/>
      <c r="B47" s="347" t="s">
        <v>1251</v>
      </c>
      <c r="C47" s="347" t="s">
        <v>15529</v>
      </c>
      <c r="D47" s="348" t="s">
        <v>15529</v>
      </c>
      <c r="E47" s="348" t="s">
        <v>1220</v>
      </c>
      <c r="F47" s="348" t="s">
        <v>15530</v>
      </c>
      <c r="G47" s="348" t="s">
        <v>15496</v>
      </c>
      <c r="H47" s="349" t="s">
        <v>15494</v>
      </c>
      <c r="I47" s="350" t="s">
        <v>15494</v>
      </c>
      <c r="J47" s="350" t="s">
        <v>15494</v>
      </c>
      <c r="K47" s="267"/>
      <c r="L47" s="267"/>
      <c r="M47" s="267"/>
      <c r="N47" s="267"/>
      <c r="O47" s="267"/>
      <c r="P47" s="219"/>
      <c r="Q47" s="268"/>
      <c r="R47" s="216" t="str">
        <f ca="1">IF(ISERROR($V47),"",OFFSET('Smelter Look-up'!$C$4,$V47-4,0)&amp;"")</f>
        <v/>
      </c>
      <c r="S47" s="224" t="str">
        <f t="shared" ca="1" si="0"/>
        <v>CN</v>
      </c>
      <c r="T47" s="224" t="str">
        <f ca="1">IF(B47="","",IF(ISERROR(MATCH($J47,SorP!$B$1:$B$6230,0)),"",INDIRECT("'SorP'!$A$"&amp;MATCH($J47,SorP!$B$1:$B$6230,0))))</f>
        <v/>
      </c>
      <c r="U47" s="239"/>
      <c r="V47" s="269" t="e">
        <f>IF(C47="",NA(),MATCH($B47&amp;$C47,'Smelter Look-up'!$J:$J,0))</f>
        <v>#N/A</v>
      </c>
      <c r="W47" s="270"/>
      <c r="X47" s="270">
        <f t="shared" si="1"/>
        <v>0</v>
      </c>
      <c r="Y47" s="270"/>
      <c r="Z47" s="270"/>
      <c r="AB47" s="272" t="str">
        <f t="shared" si="2"/>
        <v>TinMinmetals Ganzhou Tin Co. Ltd.</v>
      </c>
    </row>
    <row r="48" spans="1:28" s="271" customFormat="1" ht="94.5">
      <c r="A48" s="215"/>
      <c r="B48" s="347" t="s">
        <v>1251</v>
      </c>
      <c r="C48" s="347" t="s">
        <v>1139</v>
      </c>
      <c r="D48" s="348" t="s">
        <v>957</v>
      </c>
      <c r="E48" s="348" t="s">
        <v>15499</v>
      </c>
      <c r="F48" s="348" t="s">
        <v>863</v>
      </c>
      <c r="G48" s="348" t="s">
        <v>15496</v>
      </c>
      <c r="H48" s="349">
        <v>0</v>
      </c>
      <c r="I48" s="350" t="s">
        <v>2019</v>
      </c>
      <c r="J48" s="350" t="s">
        <v>15500</v>
      </c>
      <c r="K48" s="267"/>
      <c r="L48" s="267"/>
      <c r="M48" s="267"/>
      <c r="N48" s="267"/>
      <c r="O48" s="267"/>
      <c r="P48" s="219"/>
      <c r="Q48" s="268"/>
      <c r="R48" s="216" t="str">
        <f ca="1">IF(ISERROR($V48),"",OFFSET('Smelter Look-up'!$C$4,$V48-4,0)&amp;"")</f>
        <v>EM Vinto</v>
      </c>
      <c r="S48" s="224" t="str">
        <f t="shared" ca="1" si="0"/>
        <v>Unknown</v>
      </c>
      <c r="T48" s="224" t="str">
        <f ca="1">IF(B48="","",IF(ISERROR(MATCH($J48,SorP!$B$1:$B$6230,0)),"",INDIRECT("'SorP'!$A$"&amp;MATCH($J48,SorP!$B$1:$B$6230,0))))</f>
        <v/>
      </c>
      <c r="U48" s="239"/>
      <c r="V48" s="269">
        <f>IF(C48="",NA(),MATCH($B48&amp;$C48,'Smelter Look-up'!$J:$J,0))</f>
        <v>382</v>
      </c>
      <c r="W48" s="270"/>
      <c r="X48" s="270">
        <f t="shared" si="1"/>
        <v>0</v>
      </c>
      <c r="Y48" s="270"/>
      <c r="Z48" s="270"/>
      <c r="AB48" s="272" t="str">
        <f t="shared" si="2"/>
        <v>TinEmpressa Nacional de Fundiciones (ENAF)</v>
      </c>
    </row>
    <row r="49" spans="1:28" s="271" customFormat="1" ht="67.5">
      <c r="A49" s="215"/>
      <c r="B49" s="347" t="s">
        <v>1251</v>
      </c>
      <c r="C49" s="347" t="s">
        <v>15510</v>
      </c>
      <c r="D49" s="348" t="s">
        <v>15511</v>
      </c>
      <c r="E49" s="348" t="s">
        <v>1225</v>
      </c>
      <c r="F49" s="348" t="s">
        <v>891</v>
      </c>
      <c r="G49" s="348" t="s">
        <v>15496</v>
      </c>
      <c r="H49" s="349" t="s">
        <v>15494</v>
      </c>
      <c r="I49" s="350" t="s">
        <v>15494</v>
      </c>
      <c r="J49" s="350" t="s">
        <v>15494</v>
      </c>
      <c r="K49" s="267"/>
      <c r="L49" s="267"/>
      <c r="M49" s="267"/>
      <c r="N49" s="267"/>
      <c r="O49" s="267"/>
      <c r="P49" s="219"/>
      <c r="Q49" s="268"/>
      <c r="R49" s="216" t="str">
        <f ca="1">IF(ISERROR($V49),"",OFFSET('Smelter Look-up'!$C$4,$V49-4,0)&amp;"")</f>
        <v/>
      </c>
      <c r="S49" s="224" t="str">
        <f t="shared" ca="1" si="0"/>
        <v>ID</v>
      </c>
      <c r="T49" s="224" t="str">
        <f ca="1">IF(B49="","",IF(ISERROR(MATCH($J49,SorP!$B$1:$B$6230,0)),"",INDIRECT("'SorP'!$A$"&amp;MATCH($J49,SorP!$B$1:$B$6230,0))))</f>
        <v/>
      </c>
      <c r="U49" s="239"/>
      <c r="V49" s="269" t="e">
        <f>IF(C49="",NA(),MATCH($B49&amp;$C49,'Smelter Look-up'!$J:$J,0))</f>
        <v>#N/A</v>
      </c>
      <c r="W49" s="270"/>
      <c r="X49" s="270">
        <f t="shared" si="1"/>
        <v>0</v>
      </c>
      <c r="Y49" s="270"/>
      <c r="Z49" s="270"/>
      <c r="AB49" s="272" t="str">
        <f t="shared" si="2"/>
        <v>TinMentok Smelter (PT Timah)</v>
      </c>
    </row>
    <row r="50" spans="1:28" s="271" customFormat="1" ht="108">
      <c r="A50" s="215"/>
      <c r="B50" s="347" t="s">
        <v>1251</v>
      </c>
      <c r="C50" s="347" t="s">
        <v>15512</v>
      </c>
      <c r="D50" s="348" t="s">
        <v>15511</v>
      </c>
      <c r="E50" s="348" t="s">
        <v>1225</v>
      </c>
      <c r="F50" s="348" t="s">
        <v>891</v>
      </c>
      <c r="G50" s="348" t="s">
        <v>15496</v>
      </c>
      <c r="H50" s="349" t="s">
        <v>15494</v>
      </c>
      <c r="I50" s="350" t="s">
        <v>15494</v>
      </c>
      <c r="J50" s="350" t="s">
        <v>15494</v>
      </c>
      <c r="K50" s="267"/>
      <c r="L50" s="267"/>
      <c r="M50" s="267"/>
      <c r="N50" s="267"/>
      <c r="O50" s="267"/>
      <c r="P50" s="219"/>
      <c r="Q50" s="268"/>
      <c r="R50" s="216" t="str">
        <f ca="1">IF(ISERROR($V50),"",OFFSET('Smelter Look-up'!$C$4,$V50-4,0)&amp;"")</f>
        <v/>
      </c>
      <c r="S50" s="224" t="str">
        <f t="shared" ca="1" si="0"/>
        <v>ID</v>
      </c>
      <c r="T50" s="224" t="str">
        <f ca="1">IF(B50="","",IF(ISERROR(MATCH($J50,SorP!$B$1:$B$6230,0)),"",INDIRECT("'SorP'!$A$"&amp;MATCH($J50,SorP!$B$1:$B$6230,0))))</f>
        <v/>
      </c>
      <c r="U50" s="239"/>
      <c r="V50" s="269" t="e">
        <f>IF(C50="",NA(),MATCH($B50&amp;$C50,'Smelter Look-up'!$J:$J,0))</f>
        <v>#N/A</v>
      </c>
      <c r="W50" s="270"/>
      <c r="X50" s="270">
        <f t="shared" si="1"/>
        <v>0</v>
      </c>
      <c r="Y50" s="270"/>
      <c r="Z50" s="270"/>
      <c r="AB50" s="272" t="str">
        <f t="shared" si="2"/>
        <v>TinIndonesia State Tin Corporation, MentokSmelter</v>
      </c>
    </row>
    <row r="51" spans="1:28" s="271" customFormat="1" ht="40.5">
      <c r="A51" s="215"/>
      <c r="B51" s="347" t="s">
        <v>1251</v>
      </c>
      <c r="C51" s="347" t="s">
        <v>1149</v>
      </c>
      <c r="D51" s="348" t="s">
        <v>1149</v>
      </c>
      <c r="E51" s="348" t="s">
        <v>1225</v>
      </c>
      <c r="F51" s="348" t="s">
        <v>914</v>
      </c>
      <c r="G51" s="348" t="s">
        <v>15496</v>
      </c>
      <c r="H51" s="349">
        <v>0</v>
      </c>
      <c r="I51" s="350" t="s">
        <v>2047</v>
      </c>
      <c r="J51" s="350" t="s">
        <v>15531</v>
      </c>
      <c r="K51" s="267"/>
      <c r="L51" s="267"/>
      <c r="M51" s="267"/>
      <c r="N51" s="267"/>
      <c r="O51" s="267"/>
      <c r="P51" s="219"/>
      <c r="Q51" s="268"/>
      <c r="R51" s="216" t="str">
        <f ca="1">IF(ISERROR($V51),"",OFFSET('Smelter Look-up'!$C$4,$V51-4,0)&amp;"")</f>
        <v>PT Timah Tbk Kundur</v>
      </c>
      <c r="S51" s="224" t="str">
        <f t="shared" ca="1" si="0"/>
        <v>ID</v>
      </c>
      <c r="T51" s="224" t="str">
        <f ca="1">IF(B51="","",IF(ISERROR(MATCH($J51,SorP!$B$1:$B$6230,0)),"",INDIRECT("'SorP'!$A$"&amp;MATCH($J51,SorP!$B$1:$B$6230,0))))</f>
        <v/>
      </c>
      <c r="U51" s="239"/>
      <c r="V51" s="269">
        <f>IF(C51="",NA(),MATCH($B51&amp;$C51,'Smelter Look-up'!$J:$J,0))</f>
        <v>471</v>
      </c>
      <c r="W51" s="270"/>
      <c r="X51" s="270">
        <f t="shared" si="1"/>
        <v>0</v>
      </c>
      <c r="Y51" s="270"/>
      <c r="Z51" s="270"/>
      <c r="AB51" s="272" t="str">
        <f t="shared" si="2"/>
        <v>TinPT Tambang Timah</v>
      </c>
    </row>
    <row r="52" spans="1:28" s="271" customFormat="1" ht="20">
      <c r="A52" s="215"/>
      <c r="B52" s="347"/>
      <c r="C52" s="347"/>
      <c r="D52" s="348"/>
      <c r="E52" s="348"/>
      <c r="F52" s="348"/>
      <c r="G52" s="348"/>
      <c r="H52" s="349" t="s">
        <v>15494</v>
      </c>
      <c r="I52" s="350" t="s">
        <v>15494</v>
      </c>
      <c r="J52" s="350" t="s">
        <v>15494</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si="1"/>
        <v>0</v>
      </c>
      <c r="Y52" s="270"/>
      <c r="Z52" s="270"/>
      <c r="AB52" s="272" t="str">
        <f t="shared" si="2"/>
        <v/>
      </c>
    </row>
    <row r="53" spans="1:28" s="271" customFormat="1" ht="20">
      <c r="A53" s="215"/>
      <c r="B53" s="347"/>
      <c r="C53" s="347"/>
      <c r="D53" s="348"/>
      <c r="E53" s="348"/>
      <c r="F53" s="348"/>
      <c r="G53" s="348"/>
      <c r="H53" s="349" t="s">
        <v>15494</v>
      </c>
      <c r="I53" s="350" t="s">
        <v>15494</v>
      </c>
      <c r="J53" s="350" t="s">
        <v>15494</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si="1"/>
        <v>0</v>
      </c>
      <c r="Y53" s="270"/>
      <c r="Z53" s="270"/>
      <c r="AB53" s="272" t="str">
        <f t="shared" si="2"/>
        <v/>
      </c>
    </row>
    <row r="54" spans="1:28" s="271" customFormat="1" ht="54">
      <c r="A54" s="215"/>
      <c r="B54" s="347" t="s">
        <v>1251</v>
      </c>
      <c r="C54" s="347" t="s">
        <v>697</v>
      </c>
      <c r="D54" s="348" t="s">
        <v>697</v>
      </c>
      <c r="E54" s="348" t="s">
        <v>1225</v>
      </c>
      <c r="F54" s="348" t="s">
        <v>880</v>
      </c>
      <c r="G54" s="348" t="s">
        <v>15496</v>
      </c>
      <c r="H54" s="349">
        <v>0</v>
      </c>
      <c r="I54" s="350" t="s">
        <v>2015</v>
      </c>
      <c r="J54" s="350" t="s">
        <v>15508</v>
      </c>
      <c r="K54" s="267"/>
      <c r="L54" s="267"/>
      <c r="M54" s="267"/>
      <c r="N54" s="267"/>
      <c r="O54" s="267"/>
      <c r="P54" s="219"/>
      <c r="Q54" s="268"/>
      <c r="R54" s="216" t="str">
        <f ca="1">IF(ISERROR($V54),"",OFFSET('Smelter Look-up'!$C$4,$V54-4,0)&amp;"")</f>
        <v>PT Bangka Tin Industry</v>
      </c>
      <c r="S54" s="224" t="str">
        <f t="shared" ca="1" si="0"/>
        <v>ID</v>
      </c>
      <c r="T54" s="224" t="str">
        <f ca="1">IF(B54="","",IF(ISERROR(MATCH($J54,SorP!$B$1:$B$6230,0)),"",INDIRECT("'SorP'!$A$"&amp;MATCH($J54,SorP!$B$1:$B$6230,0))))</f>
        <v/>
      </c>
      <c r="U54" s="239"/>
      <c r="V54" s="269">
        <f>IF(C54="",NA(),MATCH($B54&amp;$C54,'Smelter Look-up'!$J:$J,0))</f>
        <v>450</v>
      </c>
      <c r="W54" s="270"/>
      <c r="X54" s="270">
        <f t="shared" si="1"/>
        <v>0</v>
      </c>
      <c r="Y54" s="270"/>
      <c r="Z54" s="270"/>
      <c r="AB54" s="272" t="str">
        <f t="shared" si="2"/>
        <v>TinPT Bangka Tin Industry</v>
      </c>
    </row>
    <row r="55" spans="1:28" s="271" customFormat="1" ht="94.5">
      <c r="A55" s="215"/>
      <c r="B55" s="347" t="s">
        <v>1250</v>
      </c>
      <c r="C55" s="347" t="s">
        <v>15532</v>
      </c>
      <c r="D55" s="348" t="s">
        <v>15532</v>
      </c>
      <c r="E55" s="348" t="s">
        <v>1220</v>
      </c>
      <c r="F55" s="348" t="s">
        <v>820</v>
      </c>
      <c r="G55" s="348" t="s">
        <v>15496</v>
      </c>
      <c r="H55" s="349" t="s">
        <v>15494</v>
      </c>
      <c r="I55" s="350" t="s">
        <v>15494</v>
      </c>
      <c r="J55" s="350" t="s">
        <v>15494</v>
      </c>
      <c r="K55" s="267"/>
      <c r="L55" s="267"/>
      <c r="M55" s="267"/>
      <c r="N55" s="267"/>
      <c r="O55" s="267"/>
      <c r="P55" s="219"/>
      <c r="Q55" s="268"/>
      <c r="R55" s="216" t="str">
        <f ca="1">IF(ISERROR($V55),"",OFFSET('Smelter Look-up'!$C$4,$V55-4,0)&amp;"")</f>
        <v/>
      </c>
      <c r="S55" s="224" t="str">
        <f t="shared" ca="1" si="0"/>
        <v>CN</v>
      </c>
      <c r="T55" s="224" t="str">
        <f ca="1">IF(B55="","",IF(ISERROR(MATCH($J55,SorP!$B$1:$B$6230,0)),"",INDIRECT("'SorP'!$A$"&amp;MATCH($J55,SorP!$B$1:$B$6230,0))))</f>
        <v/>
      </c>
      <c r="U55" s="239"/>
      <c r="V55" s="269" t="e">
        <f>IF(C55="",NA(),MATCH($B55&amp;$C55,'Smelter Look-up'!$J:$J,0))</f>
        <v>#N/A</v>
      </c>
      <c r="W55" s="270"/>
      <c r="X55" s="270">
        <f t="shared" si="1"/>
        <v>0</v>
      </c>
      <c r="Y55" s="270"/>
      <c r="Z55" s="270"/>
      <c r="AB55" s="272" t="str">
        <f t="shared" si="2"/>
        <v>GoldShandong Zhaojin Gold &amp; Silver Refinery Co. Ltd</v>
      </c>
    </row>
    <row r="56" spans="1:28" s="271" customFormat="1" ht="67.5">
      <c r="A56" s="215"/>
      <c r="B56" s="347" t="s">
        <v>1250</v>
      </c>
      <c r="C56" s="347" t="s">
        <v>1355</v>
      </c>
      <c r="D56" s="348" t="s">
        <v>1355</v>
      </c>
      <c r="E56" s="348" t="s">
        <v>15533</v>
      </c>
      <c r="F56" s="348" t="s">
        <v>800</v>
      </c>
      <c r="G56" s="348" t="s">
        <v>15496</v>
      </c>
      <c r="H56" s="349">
        <v>0</v>
      </c>
      <c r="I56" s="350" t="s">
        <v>1862</v>
      </c>
      <c r="J56" s="350" t="s">
        <v>1863</v>
      </c>
      <c r="K56" s="267"/>
      <c r="L56" s="267"/>
      <c r="M56" s="267"/>
      <c r="N56" s="267"/>
      <c r="O56" s="267"/>
      <c r="P56" s="219"/>
      <c r="Q56" s="268"/>
      <c r="R56" s="216" t="str">
        <f ca="1">IF(ISERROR($V56),"",OFFSET('Smelter Look-up'!$C$4,$V56-4,0)&amp;"")</f>
        <v>Metalor USA Refining Corporation</v>
      </c>
      <c r="S56" s="224" t="str">
        <f t="shared" ca="1" si="0"/>
        <v>Unknown</v>
      </c>
      <c r="T56" s="224" t="str">
        <f ca="1">IF(B56="","",IF(ISERROR(MATCH($J56,SorP!$B$1:$B$6230,0)),"",INDIRECT("'SorP'!$A$"&amp;MATCH($J56,SorP!$B$1:$B$6230,0))))</f>
        <v>US-MA</v>
      </c>
      <c r="U56" s="239"/>
      <c r="V56" s="269">
        <f>IF(C56="",NA(),MATCH($B56&amp;$C56,'Smelter Look-up'!$J:$J,0))</f>
        <v>150</v>
      </c>
      <c r="W56" s="270"/>
      <c r="X56" s="270">
        <f t="shared" si="1"/>
        <v>0</v>
      </c>
      <c r="Y56" s="270"/>
      <c r="Z56" s="270"/>
      <c r="AB56" s="272" t="str">
        <f t="shared" si="2"/>
        <v>GoldMetalor USA Refining Corporation</v>
      </c>
    </row>
    <row r="57" spans="1:28" s="271" customFormat="1" ht="54">
      <c r="A57" s="215"/>
      <c r="B57" s="347" t="s">
        <v>1250</v>
      </c>
      <c r="C57" s="347" t="s">
        <v>15534</v>
      </c>
      <c r="D57" s="348" t="s">
        <v>15534</v>
      </c>
      <c r="E57" s="348" t="s">
        <v>1218</v>
      </c>
      <c r="F57" s="348" t="s">
        <v>745</v>
      </c>
      <c r="G57" s="348" t="s">
        <v>15496</v>
      </c>
      <c r="H57" s="349">
        <v>0</v>
      </c>
      <c r="I57" s="350" t="s">
        <v>1785</v>
      </c>
      <c r="J57" s="350" t="s">
        <v>1786</v>
      </c>
      <c r="K57" s="267"/>
      <c r="L57" s="267"/>
      <c r="M57" s="267"/>
      <c r="N57" s="267"/>
      <c r="O57" s="267"/>
      <c r="P57" s="219"/>
      <c r="Q57" s="268"/>
      <c r="R57" s="216" t="str">
        <f ca="1">IF(ISERROR($V57),"",OFFSET('Smelter Look-up'!$C$4,$V57-4,0)&amp;"")</f>
        <v/>
      </c>
      <c r="S57" s="224" t="str">
        <f t="shared" ca="1" si="0"/>
        <v>CH</v>
      </c>
      <c r="T57" s="224" t="str">
        <f ca="1">IF(B57="","",IF(ISERROR(MATCH($J57,SorP!$B$1:$B$6230,0)),"",INDIRECT("'SorP'!$A$"&amp;MATCH($J57,SorP!$B$1:$B$6230,0))))</f>
        <v>CH-TI</v>
      </c>
      <c r="U57" s="239"/>
      <c r="V57" s="269" t="e">
        <f>IF(C57="",NA(),MATCH($B57&amp;$C57,'Smelter Look-up'!$J:$J,0))</f>
        <v>#N/A</v>
      </c>
      <c r="W57" s="270"/>
      <c r="X57" s="270">
        <f t="shared" si="1"/>
        <v>0</v>
      </c>
      <c r="Y57" s="270"/>
      <c r="Z57" s="270"/>
      <c r="AB57" s="272" t="str">
        <f t="shared" si="2"/>
        <v>GoldArgor-Heraeus SA</v>
      </c>
    </row>
    <row r="58" spans="1:28" s="271" customFormat="1" ht="121.5">
      <c r="A58" s="215"/>
      <c r="B58" s="347" t="s">
        <v>1250</v>
      </c>
      <c r="C58" s="347" t="s">
        <v>1455</v>
      </c>
      <c r="D58" s="348" t="s">
        <v>1455</v>
      </c>
      <c r="E58" s="348" t="s">
        <v>1220</v>
      </c>
      <c r="F58" s="348" t="s">
        <v>838</v>
      </c>
      <c r="G58" s="348" t="s">
        <v>15496</v>
      </c>
      <c r="H58" s="349">
        <v>0</v>
      </c>
      <c r="I58" s="350" t="s">
        <v>1928</v>
      </c>
      <c r="J58" s="350" t="s">
        <v>15535</v>
      </c>
      <c r="K58" s="267"/>
      <c r="L58" s="267"/>
      <c r="M58" s="267"/>
      <c r="N58" s="267"/>
      <c r="O58" s="267"/>
      <c r="P58" s="219"/>
      <c r="Q58" s="268"/>
      <c r="R58" s="216" t="str">
        <f ca="1">IF(ISERROR($V58),"",OFFSET('Smelter Look-up'!$C$4,$V58-4,0)&amp;"")</f>
        <v>Zhongyuan Gold Smelter of Zhongjin Gold Corporation</v>
      </c>
      <c r="S58" s="224" t="str">
        <f t="shared" ca="1" si="0"/>
        <v>CN</v>
      </c>
      <c r="T58" s="224" t="str">
        <f ca="1">IF(B58="","",IF(ISERROR(MATCH($J58,SorP!$B$1:$B$6230,0)),"",INDIRECT("'SorP'!$A$"&amp;MATCH($J58,SorP!$B$1:$B$6230,0))))</f>
        <v/>
      </c>
      <c r="U58" s="239"/>
      <c r="V58" s="269">
        <f>IF(C58="",NA(),MATCH($B58&amp;$C58,'Smelter Look-up'!$J:$J,0))</f>
        <v>281</v>
      </c>
      <c r="W58" s="270"/>
      <c r="X58" s="270">
        <f t="shared" si="1"/>
        <v>0</v>
      </c>
      <c r="Y58" s="270"/>
      <c r="Z58" s="270"/>
      <c r="AB58" s="272" t="str">
        <f t="shared" si="2"/>
        <v>GoldZhongyuan Gold Smelter of Zhongjin Gold Corporation</v>
      </c>
    </row>
    <row r="59" spans="1:28" s="271" customFormat="1" ht="81">
      <c r="A59" s="215"/>
      <c r="B59" s="347" t="s">
        <v>1250</v>
      </c>
      <c r="C59" s="347" t="s">
        <v>15536</v>
      </c>
      <c r="D59" s="348" t="s">
        <v>15537</v>
      </c>
      <c r="E59" s="348" t="s">
        <v>1220</v>
      </c>
      <c r="F59" s="348" t="s">
        <v>826</v>
      </c>
      <c r="G59" s="348" t="s">
        <v>15496</v>
      </c>
      <c r="H59" s="349" t="s">
        <v>15494</v>
      </c>
      <c r="I59" s="350" t="s">
        <v>15494</v>
      </c>
      <c r="J59" s="350" t="s">
        <v>15494</v>
      </c>
      <c r="K59" s="267"/>
      <c r="L59" s="267"/>
      <c r="M59" s="267"/>
      <c r="N59" s="267"/>
      <c r="O59" s="267"/>
      <c r="P59" s="219"/>
      <c r="Q59" s="268"/>
      <c r="R59" s="216" t="str">
        <f ca="1">IF(ISERROR($V59),"",OFFSET('Smelter Look-up'!$C$4,$V59-4,0)&amp;"")</f>
        <v/>
      </c>
      <c r="S59" s="224" t="str">
        <f t="shared" ca="1" si="0"/>
        <v>CN</v>
      </c>
      <c r="T59" s="224" t="str">
        <f ca="1">IF(B59="","",IF(ISERROR(MATCH($J59,SorP!$B$1:$B$6230,0)),"",INDIRECT("'SorP'!$A$"&amp;MATCH($J59,SorP!$B$1:$B$6230,0))))</f>
        <v/>
      </c>
      <c r="U59" s="239"/>
      <c r="V59" s="269" t="e">
        <f>IF(C59="",NA(),MATCH($B59&amp;$C59,'Smelter Look-up'!$J:$J,0))</f>
        <v>#N/A</v>
      </c>
      <c r="W59" s="270"/>
      <c r="X59" s="270">
        <f t="shared" si="1"/>
        <v>0</v>
      </c>
      <c r="Y59" s="270"/>
      <c r="Z59" s="270"/>
      <c r="AB59" s="272" t="str">
        <f t="shared" si="2"/>
        <v>GoldShandong Gold Mining (Laizhou)</v>
      </c>
    </row>
    <row r="60" spans="1:28" s="271" customFormat="1" ht="67.5">
      <c r="A60" s="215"/>
      <c r="B60" s="347" t="s">
        <v>1250</v>
      </c>
      <c r="C60" s="347" t="s">
        <v>58</v>
      </c>
      <c r="D60" s="348" t="s">
        <v>58</v>
      </c>
      <c r="E60" s="348" t="s">
        <v>14111</v>
      </c>
      <c r="F60" s="348" t="s">
        <v>771</v>
      </c>
      <c r="G60" s="348" t="s">
        <v>15496</v>
      </c>
      <c r="H60" s="349">
        <v>0</v>
      </c>
      <c r="I60" s="350" t="s">
        <v>1826</v>
      </c>
      <c r="J60" s="350" t="s">
        <v>15538</v>
      </c>
      <c r="K60" s="267"/>
      <c r="L60" s="267"/>
      <c r="M60" s="267"/>
      <c r="N60" s="267"/>
      <c r="O60" s="267"/>
      <c r="P60" s="219"/>
      <c r="Q60" s="268"/>
      <c r="R60" s="216" t="str">
        <f ca="1">IF(ISERROR($V60),"",OFFSET('Smelter Look-up'!$C$4,$V60-4,0)&amp;"")</f>
        <v>Heraeus Metals Hong Kong Ltd.</v>
      </c>
      <c r="S60" s="224" t="str">
        <f t="shared" ca="1" si="0"/>
        <v>HK</v>
      </c>
      <c r="T60" s="224" t="str">
        <f ca="1">IF(B60="","",IF(ISERROR(MATCH($J60,SorP!$B$1:$B$6230,0)),"",INDIRECT("'SorP'!$A$"&amp;MATCH($J60,SorP!$B$1:$B$6230,0))))</f>
        <v/>
      </c>
      <c r="U60" s="239"/>
      <c r="V60" s="269">
        <f>IF(C60="",NA(),MATCH($B60&amp;$C60,'Smelter Look-up'!$J:$J,0))</f>
        <v>90</v>
      </c>
      <c r="W60" s="270"/>
      <c r="X60" s="270">
        <f t="shared" si="1"/>
        <v>0</v>
      </c>
      <c r="Y60" s="270"/>
      <c r="Z60" s="270"/>
      <c r="AB60" s="272" t="str">
        <f t="shared" si="2"/>
        <v>GoldHeraeus Ltd. Hong Kong</v>
      </c>
    </row>
    <row r="61" spans="1:28" s="271" customFormat="1" ht="108">
      <c r="A61" s="215"/>
      <c r="B61" s="347" t="s">
        <v>1250</v>
      </c>
      <c r="C61" s="347" t="s">
        <v>15539</v>
      </c>
      <c r="D61" s="348" t="s">
        <v>15539</v>
      </c>
      <c r="E61" s="348" t="s">
        <v>1213</v>
      </c>
      <c r="F61" s="348" t="s">
        <v>834</v>
      </c>
      <c r="G61" s="348" t="s">
        <v>15496</v>
      </c>
      <c r="H61" s="349">
        <v>0</v>
      </c>
      <c r="I61" s="350" t="s">
        <v>1921</v>
      </c>
      <c r="J61" s="350" t="s">
        <v>1922</v>
      </c>
      <c r="K61" s="267"/>
      <c r="L61" s="267"/>
      <c r="M61" s="267"/>
      <c r="N61" s="267"/>
      <c r="O61" s="267"/>
      <c r="P61" s="219"/>
      <c r="Q61" s="268"/>
      <c r="R61" s="216" t="str">
        <f ca="1">IF(ISERROR($V61),"",OFFSET('Smelter Look-up'!$C$4,$V61-4,0)&amp;"")</f>
        <v/>
      </c>
      <c r="S61" s="224" t="str">
        <f t="shared" ca="1" si="0"/>
        <v>AU</v>
      </c>
      <c r="T61" s="224" t="str">
        <f ca="1">IF(B61="","",IF(ISERROR(MATCH($J61,SorP!$B$1:$B$6230,0)),"",INDIRECT("'SorP'!$A$"&amp;MATCH($J61,SorP!$B$1:$B$6230,0))))</f>
        <v>AU-WA</v>
      </c>
      <c r="U61" s="239"/>
      <c r="V61" s="269" t="e">
        <f>IF(C61="",NA(),MATCH($B61&amp;$C61,'Smelter Look-up'!$J:$J,0))</f>
        <v>#N/A</v>
      </c>
      <c r="W61" s="270"/>
      <c r="X61" s="270">
        <f t="shared" si="1"/>
        <v>0</v>
      </c>
      <c r="Y61" s="270"/>
      <c r="Z61" s="270"/>
      <c r="AB61" s="272" t="str">
        <f t="shared" si="2"/>
        <v>GoldWestern Australian Mint trading as The Perth Mint</v>
      </c>
    </row>
    <row r="62" spans="1:28" s="271" customFormat="1" ht="27">
      <c r="A62" s="215"/>
      <c r="B62" s="347" t="s">
        <v>1250</v>
      </c>
      <c r="C62" s="347" t="s">
        <v>1024</v>
      </c>
      <c r="D62" s="348" t="s">
        <v>1024</v>
      </c>
      <c r="E62" s="348" t="s">
        <v>1228</v>
      </c>
      <c r="F62" s="348" t="s">
        <v>778</v>
      </c>
      <c r="G62" s="348" t="s">
        <v>15496</v>
      </c>
      <c r="H62" s="349">
        <v>0</v>
      </c>
      <c r="I62" s="350" t="s">
        <v>1834</v>
      </c>
      <c r="J62" s="350" t="s">
        <v>15540</v>
      </c>
      <c r="K62" s="267"/>
      <c r="L62" s="267"/>
      <c r="M62" s="267"/>
      <c r="N62" s="267"/>
      <c r="O62" s="267"/>
      <c r="P62" s="219"/>
      <c r="Q62" s="268"/>
      <c r="R62" s="216" t="str">
        <f ca="1">IF(ISERROR($V62),"",OFFSET('Smelter Look-up'!$C$4,$V62-4,0)&amp;"")</f>
        <v>Japan Mint</v>
      </c>
      <c r="S62" s="224" t="str">
        <f t="shared" ca="1" si="0"/>
        <v>JP</v>
      </c>
      <c r="T62" s="224" t="str">
        <f ca="1">IF(B62="","",IF(ISERROR(MATCH($J62,SorP!$B$1:$B$6230,0)),"",INDIRECT("'SorP'!$A$"&amp;MATCH($J62,SorP!$B$1:$B$6230,0))))</f>
        <v/>
      </c>
      <c r="U62" s="239"/>
      <c r="V62" s="269">
        <f>IF(C62="",NA(),MATCH($B62&amp;$C62,'Smelter Look-up'!$J:$J,0))</f>
        <v>104</v>
      </c>
      <c r="W62" s="270"/>
      <c r="X62" s="270">
        <f t="shared" si="1"/>
        <v>0</v>
      </c>
      <c r="Y62" s="270"/>
      <c r="Z62" s="270"/>
      <c r="AB62" s="272" t="str">
        <f t="shared" si="2"/>
        <v>GoldJapan Mint</v>
      </c>
    </row>
    <row r="63" spans="1:28" s="271" customFormat="1" ht="67.5">
      <c r="A63" s="215"/>
      <c r="B63" s="347" t="s">
        <v>1250</v>
      </c>
      <c r="C63" s="347" t="s">
        <v>1359</v>
      </c>
      <c r="D63" s="348" t="s">
        <v>1359</v>
      </c>
      <c r="E63" s="348" t="s">
        <v>1228</v>
      </c>
      <c r="F63" s="348" t="s">
        <v>824</v>
      </c>
      <c r="G63" s="348" t="s">
        <v>15496</v>
      </c>
      <c r="H63" s="349">
        <v>0</v>
      </c>
      <c r="I63" s="350" t="s">
        <v>1904</v>
      </c>
      <c r="J63" s="350" t="s">
        <v>1905</v>
      </c>
      <c r="K63" s="267"/>
      <c r="L63" s="267"/>
      <c r="M63" s="267"/>
      <c r="N63" s="267"/>
      <c r="O63" s="267"/>
      <c r="P63" s="219"/>
      <c r="Q63" s="268"/>
      <c r="R63" s="216" t="str">
        <f ca="1">IF(ISERROR($V63),"",OFFSET('Smelter Look-up'!$C$4,$V63-4,0)&amp;"")</f>
        <v>Tanaka Kikinzoku Kogyo K.K.</v>
      </c>
      <c r="S63" s="224" t="str">
        <f t="shared" ca="1" si="0"/>
        <v>JP</v>
      </c>
      <c r="T63" s="224" t="str">
        <f ca="1">IF(B63="","",IF(ISERROR(MATCH($J63,SorP!$B$1:$B$6230,0)),"",INDIRECT("'SorP'!$A$"&amp;MATCH($J63,SorP!$B$1:$B$6230,0))))</f>
        <v>JP-14</v>
      </c>
      <c r="U63" s="239"/>
      <c r="V63" s="269">
        <f>IF(C63="",NA(),MATCH($B63&amp;$C63,'Smelter Look-up'!$J:$J,0))</f>
        <v>243</v>
      </c>
      <c r="W63" s="270"/>
      <c r="X63" s="270">
        <f t="shared" si="1"/>
        <v>0</v>
      </c>
      <c r="Y63" s="270"/>
      <c r="Z63" s="270"/>
      <c r="AB63" s="272" t="str">
        <f t="shared" si="2"/>
        <v>GoldTanaka Kikinzoku Kogyo K.K.</v>
      </c>
    </row>
    <row r="64" spans="1:28" s="271" customFormat="1" ht="67.5">
      <c r="A64" s="215"/>
      <c r="B64" s="347" t="s">
        <v>1250</v>
      </c>
      <c r="C64" s="347" t="s">
        <v>62</v>
      </c>
      <c r="D64" s="348" t="s">
        <v>62</v>
      </c>
      <c r="E64" s="348" t="s">
        <v>1228</v>
      </c>
      <c r="F64" s="348" t="s">
        <v>823</v>
      </c>
      <c r="G64" s="348" t="s">
        <v>15496</v>
      </c>
      <c r="H64" s="349">
        <v>0</v>
      </c>
      <c r="I64" s="350" t="s">
        <v>1902</v>
      </c>
      <c r="J64" s="350" t="s">
        <v>2646</v>
      </c>
      <c r="K64" s="267"/>
      <c r="L64" s="267"/>
      <c r="M64" s="267"/>
      <c r="N64" s="267"/>
      <c r="O64" s="267"/>
      <c r="P64" s="219"/>
      <c r="Q64" s="268"/>
      <c r="R64" s="216" t="str">
        <f ca="1">IF(ISERROR($V64),"",OFFSET('Smelter Look-up'!$C$4,$V64-4,0)&amp;"")</f>
        <v>Sumitomo Metal Mining Co., Ltd.</v>
      </c>
      <c r="S64" s="224" t="str">
        <f t="shared" ca="1" si="0"/>
        <v>JP</v>
      </c>
      <c r="T64" s="224" t="str">
        <f ca="1">IF(B64="","",IF(ISERROR(MATCH($J64,SorP!$B$1:$B$6230,0)),"",INDIRECT("'SorP'!$A$"&amp;MATCH($J64,SorP!$B$1:$B$6230,0))))</f>
        <v>JP-38</v>
      </c>
      <c r="U64" s="239"/>
      <c r="V64" s="269">
        <f>IF(C64="",NA(),MATCH($B64&amp;$C64,'Smelter Look-up'!$J:$J,0))</f>
        <v>231</v>
      </c>
      <c r="W64" s="270"/>
      <c r="X64" s="270">
        <f t="shared" si="1"/>
        <v>0</v>
      </c>
      <c r="Y64" s="270"/>
      <c r="Z64" s="270"/>
      <c r="AB64" s="272" t="str">
        <f t="shared" si="2"/>
        <v>GoldSumitomo Metal Mining Co., Ltd.</v>
      </c>
    </row>
    <row r="65" spans="1:28" s="271" customFormat="1" ht="67.5">
      <c r="A65" s="215"/>
      <c r="B65" s="347" t="s">
        <v>1250</v>
      </c>
      <c r="C65" s="347" t="s">
        <v>59</v>
      </c>
      <c r="D65" s="348" t="s">
        <v>59</v>
      </c>
      <c r="E65" s="348" t="s">
        <v>1228</v>
      </c>
      <c r="F65" s="348" t="s">
        <v>784</v>
      </c>
      <c r="G65" s="348" t="s">
        <v>15496</v>
      </c>
      <c r="H65" s="349">
        <v>0</v>
      </c>
      <c r="I65" s="350" t="s">
        <v>3000</v>
      </c>
      <c r="J65" s="350" t="s">
        <v>3000</v>
      </c>
      <c r="K65" s="267"/>
      <c r="L65" s="267"/>
      <c r="M65" s="267"/>
      <c r="N65" s="267"/>
      <c r="O65" s="267"/>
      <c r="P65" s="219"/>
      <c r="Q65" s="268"/>
      <c r="R65" s="216" t="str">
        <f ca="1">IF(ISERROR($V65),"",OFFSET('Smelter Look-up'!$C$4,$V65-4,0)&amp;"")</f>
        <v>JX Nippon Mining &amp; Metals Co., Ltd.</v>
      </c>
      <c r="S65" s="224" t="str">
        <f t="shared" ca="1" si="0"/>
        <v>JP</v>
      </c>
      <c r="T65" s="224" t="str">
        <f ca="1">IF(B65="","",IF(ISERROR(MATCH($J65,SorP!$B$1:$B$6230,0)),"",INDIRECT("'SorP'!$A$"&amp;MATCH($J65,SorP!$B$1:$B$6230,0))))</f>
        <v/>
      </c>
      <c r="U65" s="239"/>
      <c r="V65" s="269">
        <f>IF(C65="",NA(),MATCH($B65&amp;$C65,'Smelter Look-up'!$J:$J,0))</f>
        <v>113</v>
      </c>
      <c r="W65" s="270"/>
      <c r="X65" s="270">
        <f t="shared" si="1"/>
        <v>0</v>
      </c>
      <c r="Y65" s="270"/>
      <c r="Z65" s="270"/>
      <c r="AB65" s="272" t="str">
        <f t="shared" si="2"/>
        <v>GoldJX Nippon Mining &amp; Metals Co., Ltd.</v>
      </c>
    </row>
    <row r="66" spans="1:28" s="271" customFormat="1" ht="54">
      <c r="A66" s="215"/>
      <c r="B66" s="347" t="s">
        <v>1250</v>
      </c>
      <c r="C66" s="347" t="s">
        <v>61</v>
      </c>
      <c r="D66" s="348" t="s">
        <v>61</v>
      </c>
      <c r="E66" s="348" t="s">
        <v>1228</v>
      </c>
      <c r="F66" s="348" t="s">
        <v>796</v>
      </c>
      <c r="G66" s="348" t="s">
        <v>15496</v>
      </c>
      <c r="H66" s="349">
        <v>0</v>
      </c>
      <c r="I66" s="350" t="s">
        <v>1856</v>
      </c>
      <c r="J66" s="350" t="s">
        <v>1818</v>
      </c>
      <c r="K66" s="267"/>
      <c r="L66" s="267"/>
      <c r="M66" s="267"/>
      <c r="N66" s="267"/>
      <c r="O66" s="267"/>
      <c r="P66" s="219"/>
      <c r="Q66" s="268"/>
      <c r="R66" s="216" t="str">
        <f ca="1">IF(ISERROR($V66),"",OFFSET('Smelter Look-up'!$C$4,$V66-4,0)&amp;"")</f>
        <v>Matsuda Sangyo Co., Ltd.</v>
      </c>
      <c r="S66" s="224" t="str">
        <f t="shared" ca="1" si="0"/>
        <v>JP</v>
      </c>
      <c r="T66" s="224" t="str">
        <f ca="1">IF(B66="","",IF(ISERROR(MATCH($J66,SorP!$B$1:$B$6230,0)),"",INDIRECT("'SorP'!$A$"&amp;MATCH($J66,SorP!$B$1:$B$6230,0))))</f>
        <v>JP-11</v>
      </c>
      <c r="U66" s="239"/>
      <c r="V66" s="269">
        <f>IF(C66="",NA(),MATCH($B66&amp;$C66,'Smelter Look-up'!$J:$J,0))</f>
        <v>141</v>
      </c>
      <c r="W66" s="270"/>
      <c r="X66" s="270">
        <f t="shared" si="1"/>
        <v>0</v>
      </c>
      <c r="Y66" s="270"/>
      <c r="Z66" s="270"/>
      <c r="AB66" s="272" t="str">
        <f t="shared" si="2"/>
        <v>GoldMatsuda Sangyo Co., Ltd.</v>
      </c>
    </row>
    <row r="67" spans="1:28" s="271" customFormat="1" ht="54">
      <c r="A67" s="215"/>
      <c r="B67" s="347" t="s">
        <v>1250</v>
      </c>
      <c r="C67" s="347" t="s">
        <v>60</v>
      </c>
      <c r="D67" s="348" t="s">
        <v>60</v>
      </c>
      <c r="E67" s="348" t="s">
        <v>1231</v>
      </c>
      <c r="F67" s="348" t="s">
        <v>792</v>
      </c>
      <c r="G67" s="348" t="s">
        <v>15496</v>
      </c>
      <c r="H67" s="349">
        <v>0</v>
      </c>
      <c r="I67" s="350" t="s">
        <v>1851</v>
      </c>
      <c r="J67" s="350" t="s">
        <v>15541</v>
      </c>
      <c r="K67" s="267"/>
      <c r="L67" s="267"/>
      <c r="M67" s="267"/>
      <c r="N67" s="267"/>
      <c r="O67" s="267"/>
      <c r="P67" s="219"/>
      <c r="Q67" s="268"/>
      <c r="R67" s="216" t="str">
        <f ca="1">IF(ISERROR($V67),"",OFFSET('Smelter Look-up'!$C$4,$V67-4,0)&amp;"")</f>
        <v>LS-NIKKO Copper Inc.</v>
      </c>
      <c r="S67" s="224" t="str">
        <f t="shared" ca="1" si="0"/>
        <v>KR</v>
      </c>
      <c r="T67" s="224" t="str">
        <f ca="1">IF(B67="","",IF(ISERROR(MATCH($J67,SorP!$B$1:$B$6230,0)),"",INDIRECT("'SorP'!$A$"&amp;MATCH($J67,SorP!$B$1:$B$6230,0))))</f>
        <v/>
      </c>
      <c r="U67" s="239"/>
      <c r="V67" s="269">
        <f>IF(C67="",NA(),MATCH($B67&amp;$C67,'Smelter Look-up'!$J:$J,0))</f>
        <v>135</v>
      </c>
      <c r="W67" s="270"/>
      <c r="X67" s="270">
        <f t="shared" si="1"/>
        <v>0</v>
      </c>
      <c r="Y67" s="270"/>
      <c r="Z67" s="270"/>
      <c r="AB67" s="272" t="str">
        <f t="shared" si="2"/>
        <v>GoldLS-NIKKO Copper Inc.</v>
      </c>
    </row>
    <row r="68" spans="1:28" s="271" customFormat="1" ht="94.5">
      <c r="A68" s="215"/>
      <c r="B68" s="347" t="s">
        <v>1250</v>
      </c>
      <c r="C68" s="347" t="s">
        <v>15542</v>
      </c>
      <c r="D68" s="348" t="s">
        <v>15542</v>
      </c>
      <c r="E68" s="348" t="s">
        <v>14111</v>
      </c>
      <c r="F68" s="348" t="s">
        <v>797</v>
      </c>
      <c r="G68" s="348" t="s">
        <v>15496</v>
      </c>
      <c r="H68" s="349" t="s">
        <v>15494</v>
      </c>
      <c r="I68" s="350" t="s">
        <v>15494</v>
      </c>
      <c r="J68" s="350" t="s">
        <v>15494</v>
      </c>
      <c r="K68" s="267"/>
      <c r="L68" s="267"/>
      <c r="M68" s="267"/>
      <c r="N68" s="267"/>
      <c r="O68" s="267"/>
      <c r="P68" s="219"/>
      <c r="Q68" s="268"/>
      <c r="R68" s="216" t="str">
        <f ca="1">IF(ISERROR($V68),"",OFFSET('Smelter Look-up'!$C$4,$V68-4,0)&amp;"")</f>
        <v/>
      </c>
      <c r="S68" s="224" t="str">
        <f t="shared" ca="1" si="0"/>
        <v>HK</v>
      </c>
      <c r="T68" s="224" t="str">
        <f ca="1">IF(B68="","",IF(ISERROR(MATCH($J68,SorP!$B$1:$B$6230,0)),"",INDIRECT("'SorP'!$A$"&amp;MATCH($J68,SorP!$B$1:$B$6230,0))))</f>
        <v/>
      </c>
      <c r="U68" s="239"/>
      <c r="V68" s="269" t="e">
        <f>IF(C68="",NA(),MATCH($B68&amp;$C68,'Smelter Look-up'!$J:$J,0))</f>
        <v>#N/A</v>
      </c>
      <c r="W68" s="270"/>
      <c r="X68" s="270">
        <f t="shared" si="1"/>
        <v>0</v>
      </c>
      <c r="Y68" s="270"/>
      <c r="Z68" s="270"/>
      <c r="AB68" s="272" t="str">
        <f t="shared" si="2"/>
        <v>GoldMetalor Technologies (Hong Kong) Ltd</v>
      </c>
    </row>
    <row r="69" spans="1:28" s="271" customFormat="1" ht="81">
      <c r="A69" s="215"/>
      <c r="B69" s="347" t="s">
        <v>1250</v>
      </c>
      <c r="C69" s="347" t="s">
        <v>1285</v>
      </c>
      <c r="D69" s="348" t="s">
        <v>1285</v>
      </c>
      <c r="E69" s="348" t="s">
        <v>1228</v>
      </c>
      <c r="F69" s="348" t="s">
        <v>802</v>
      </c>
      <c r="G69" s="348" t="s">
        <v>15496</v>
      </c>
      <c r="H69" s="349">
        <v>0</v>
      </c>
      <c r="I69" s="350" t="s">
        <v>1865</v>
      </c>
      <c r="J69" s="350" t="s">
        <v>2645</v>
      </c>
      <c r="K69" s="267"/>
      <c r="L69" s="267"/>
      <c r="M69" s="267"/>
      <c r="N69" s="267"/>
      <c r="O69" s="267"/>
      <c r="P69" s="219"/>
      <c r="Q69" s="268"/>
      <c r="R69" s="216" t="str">
        <f ca="1">IF(ISERROR($V69),"",OFFSET('Smelter Look-up'!$C$4,$V69-4,0)&amp;"")</f>
        <v>Mitsubishi Materials Corporation</v>
      </c>
      <c r="S69" s="224" t="str">
        <f t="shared" ref="S69:S132" ca="1" si="3">IF(B69="","",IF(ISERROR(MATCH($E69,CL,0)),"Unknown",INDIRECT("'C'!$A$"&amp;MATCH($E69,CL,0)+1)))</f>
        <v>JP</v>
      </c>
      <c r="T69" s="224" t="str">
        <f ca="1">IF(B69="","",IF(ISERROR(MATCH($J69,SorP!$B$1:$B$6230,0)),"",INDIRECT("'SorP'!$A$"&amp;MATCH($J69,SorP!$B$1:$B$6230,0))))</f>
        <v>JP-37</v>
      </c>
      <c r="U69" s="239"/>
      <c r="V69" s="269">
        <f>IF(C69="",NA(),MATCH($B69&amp;$C69,'Smelter Look-up'!$J:$J,0))</f>
        <v>155</v>
      </c>
      <c r="W69" s="270"/>
      <c r="X69" s="270">
        <f t="shared" ref="X69:X132" si="4">IF(AND(C69="Smelter not listed",OR(LEN(D69)=0,LEN(E69)=0)),1,0)</f>
        <v>0</v>
      </c>
      <c r="Y69" s="270"/>
      <c r="Z69" s="270"/>
      <c r="AB69" s="272" t="str">
        <f t="shared" ref="AB69:AB132" si="5">B69&amp;C69</f>
        <v>GoldMitsubishi Materials Corporation</v>
      </c>
    </row>
    <row r="70" spans="1:28" s="271" customFormat="1" ht="81">
      <c r="A70" s="215"/>
      <c r="B70" s="347" t="s">
        <v>1250</v>
      </c>
      <c r="C70" s="347" t="s">
        <v>15543</v>
      </c>
      <c r="D70" s="348" t="s">
        <v>15544</v>
      </c>
      <c r="E70" s="348" t="s">
        <v>15533</v>
      </c>
      <c r="F70" s="348" t="s">
        <v>780</v>
      </c>
      <c r="G70" s="348" t="s">
        <v>15496</v>
      </c>
      <c r="H70" s="349" t="s">
        <v>15494</v>
      </c>
      <c r="I70" s="350" t="s">
        <v>15494</v>
      </c>
      <c r="J70" s="350" t="s">
        <v>15494</v>
      </c>
      <c r="K70" s="267"/>
      <c r="L70" s="267"/>
      <c r="M70" s="267"/>
      <c r="N70" s="267"/>
      <c r="O70" s="267"/>
      <c r="P70" s="219"/>
      <c r="Q70" s="268"/>
      <c r="R70" s="216" t="str">
        <f ca="1">IF(ISERROR($V70),"",OFFSET('Smelter Look-up'!$C$4,$V70-4,0)&amp;"")</f>
        <v/>
      </c>
      <c r="S70" s="224" t="str">
        <f t="shared" ca="1" si="3"/>
        <v>Unknown</v>
      </c>
      <c r="T70" s="224" t="str">
        <f ca="1">IF(B70="","",IF(ISERROR(MATCH($J70,SorP!$B$1:$B$6230,0)),"",INDIRECT("'SorP'!$A$"&amp;MATCH($J70,SorP!$B$1:$B$6230,0))))</f>
        <v/>
      </c>
      <c r="U70" s="239"/>
      <c r="V70" s="269" t="e">
        <f>IF(C70="",NA(),MATCH($B70&amp;$C70,'Smelter Look-up'!$J:$J,0))</f>
        <v>#N/A</v>
      </c>
      <c r="W70" s="270"/>
      <c r="X70" s="270">
        <f t="shared" si="4"/>
        <v>0</v>
      </c>
      <c r="Y70" s="270"/>
      <c r="Z70" s="270"/>
      <c r="AB70" s="272" t="str">
        <f t="shared" si="5"/>
        <v>GoldJohnson Matthey (Salt Lake City)</v>
      </c>
    </row>
    <row r="71" spans="1:28" s="271" customFormat="1" ht="94.5">
      <c r="A71" s="215"/>
      <c r="B71" s="347" t="s">
        <v>1250</v>
      </c>
      <c r="C71" s="347" t="s">
        <v>56</v>
      </c>
      <c r="D71" s="348" t="s">
        <v>56</v>
      </c>
      <c r="E71" s="348" t="s">
        <v>1221</v>
      </c>
      <c r="F71" s="348" t="s">
        <v>742</v>
      </c>
      <c r="G71" s="348" t="s">
        <v>15496</v>
      </c>
      <c r="H71" s="349">
        <v>0</v>
      </c>
      <c r="I71" s="350" t="s">
        <v>1779</v>
      </c>
      <c r="J71" s="350" t="s">
        <v>1780</v>
      </c>
      <c r="K71" s="267"/>
      <c r="L71" s="267"/>
      <c r="M71" s="267"/>
      <c r="N71" s="267"/>
      <c r="O71" s="267"/>
      <c r="P71" s="219"/>
      <c r="Q71" s="268"/>
      <c r="R71" s="216" t="str">
        <f ca="1">IF(ISERROR($V71),"",OFFSET('Smelter Look-up'!$C$4,$V71-4,0)&amp;"")</f>
        <v>Allgemeine Gold-und Silberscheideanstalt A.G.</v>
      </c>
      <c r="S71" s="224" t="str">
        <f t="shared" ca="1" si="3"/>
        <v>DE</v>
      </c>
      <c r="T71" s="224" t="str">
        <f ca="1">IF(B71="","",IF(ISERROR(MATCH($J71,SorP!$B$1:$B$6230,0)),"",INDIRECT("'SorP'!$A$"&amp;MATCH($J71,SorP!$B$1:$B$6230,0))))</f>
        <v>DE-BW</v>
      </c>
      <c r="U71" s="239"/>
      <c r="V71" s="269">
        <f>IF(C71="",NA(),MATCH($B71&amp;$C71,'Smelter Look-up'!$J:$J,0))</f>
        <v>14</v>
      </c>
      <c r="W71" s="270"/>
      <c r="X71" s="270">
        <f t="shared" si="4"/>
        <v>0</v>
      </c>
      <c r="Y71" s="270"/>
      <c r="Z71" s="270"/>
      <c r="AB71" s="272" t="str">
        <f t="shared" si="5"/>
        <v>GoldAllgemeine Gold-und Silberscheideanstalt A.G.</v>
      </c>
    </row>
    <row r="72" spans="1:28" s="271" customFormat="1" ht="54">
      <c r="A72" s="215"/>
      <c r="B72" s="347" t="s">
        <v>1250</v>
      </c>
      <c r="C72" s="347" t="s">
        <v>15545</v>
      </c>
      <c r="D72" s="348" t="s">
        <v>15545</v>
      </c>
      <c r="E72" s="348" t="s">
        <v>1228</v>
      </c>
      <c r="F72" s="348" t="s">
        <v>746</v>
      </c>
      <c r="G72" s="348" t="s">
        <v>15496</v>
      </c>
      <c r="H72" s="349">
        <v>0</v>
      </c>
      <c r="I72" s="350" t="s">
        <v>1787</v>
      </c>
      <c r="J72" s="350" t="s">
        <v>1788</v>
      </c>
      <c r="K72" s="267"/>
      <c r="L72" s="267"/>
      <c r="M72" s="267"/>
      <c r="N72" s="267"/>
      <c r="O72" s="267"/>
      <c r="P72" s="219"/>
      <c r="Q72" s="268"/>
      <c r="R72" s="216" t="str">
        <f ca="1">IF(ISERROR($V72),"",OFFSET('Smelter Look-up'!$C$4,$V72-4,0)&amp;"")</f>
        <v/>
      </c>
      <c r="S72" s="224" t="str">
        <f t="shared" ca="1" si="3"/>
        <v>JP</v>
      </c>
      <c r="T72" s="224" t="str">
        <f ca="1">IF(B72="","",IF(ISERROR(MATCH($J72,SorP!$B$1:$B$6230,0)),"",INDIRECT("'SorP'!$A$"&amp;MATCH($J72,SorP!$B$1:$B$6230,0))))</f>
        <v>JP-28</v>
      </c>
      <c r="U72" s="239"/>
      <c r="V72" s="269" t="e">
        <f>IF(C72="",NA(),MATCH($B72&amp;$C72,'Smelter Look-up'!$J:$J,0))</f>
        <v>#N/A</v>
      </c>
      <c r="W72" s="270"/>
      <c r="X72" s="270">
        <f t="shared" si="4"/>
        <v>0</v>
      </c>
      <c r="Y72" s="270"/>
      <c r="Z72" s="270"/>
      <c r="AB72" s="272" t="str">
        <f t="shared" si="5"/>
        <v>GoldAsahi Pretec Corporation</v>
      </c>
    </row>
    <row r="73" spans="1:28" s="271" customFormat="1" ht="81">
      <c r="A73" s="215"/>
      <c r="B73" s="347" t="s">
        <v>1250</v>
      </c>
      <c r="C73" s="347" t="s">
        <v>23</v>
      </c>
      <c r="D73" s="348" t="s">
        <v>15537</v>
      </c>
      <c r="E73" s="348" t="s">
        <v>1220</v>
      </c>
      <c r="F73" s="348" t="s">
        <v>826</v>
      </c>
      <c r="G73" s="348" t="s">
        <v>15496</v>
      </c>
      <c r="H73" s="349">
        <v>0</v>
      </c>
      <c r="I73" s="350" t="s">
        <v>1895</v>
      </c>
      <c r="J73" s="350" t="s">
        <v>15546</v>
      </c>
      <c r="K73" s="267"/>
      <c r="L73" s="267"/>
      <c r="M73" s="267"/>
      <c r="N73" s="267"/>
      <c r="O73" s="267"/>
      <c r="P73" s="219"/>
      <c r="Q73" s="268"/>
      <c r="R73" s="216" t="str">
        <f ca="1">IF(ISERROR($V73),"",OFFSET('Smelter Look-up'!$C$4,$V73-4,0)&amp;"")</f>
        <v>The Refinery of Shandong Gold Mining Co., Ltd.</v>
      </c>
      <c r="S73" s="224" t="str">
        <f t="shared" ca="1" si="3"/>
        <v>CN</v>
      </c>
      <c r="T73" s="224" t="str">
        <f ca="1">IF(B73="","",IF(ISERROR(MATCH($J73,SorP!$B$1:$B$6230,0)),"",INDIRECT("'SorP'!$A$"&amp;MATCH($J73,SorP!$B$1:$B$6230,0))))</f>
        <v/>
      </c>
      <c r="U73" s="239"/>
      <c r="V73" s="269">
        <f>IF(C73="",NA(),MATCH($B73&amp;$C73,'Smelter Look-up'!$J:$J,0))</f>
        <v>49</v>
      </c>
      <c r="W73" s="270"/>
      <c r="X73" s="270">
        <f t="shared" si="4"/>
        <v>0</v>
      </c>
      <c r="Y73" s="270"/>
      <c r="Z73" s="270"/>
      <c r="AB73" s="272" t="str">
        <f t="shared" si="5"/>
        <v>GoldChina's Shandong Gold Mining Co., Ltd</v>
      </c>
    </row>
    <row r="74" spans="1:28" s="271" customFormat="1" ht="135">
      <c r="A74" s="215"/>
      <c r="B74" s="347" t="s">
        <v>1250</v>
      </c>
      <c r="C74" s="347" t="s">
        <v>1020</v>
      </c>
      <c r="D74" s="348" t="s">
        <v>1020</v>
      </c>
      <c r="E74" s="348" t="s">
        <v>997</v>
      </c>
      <c r="F74" s="348" t="s">
        <v>750</v>
      </c>
      <c r="G74" s="348" t="s">
        <v>15496</v>
      </c>
      <c r="H74" s="349">
        <v>0</v>
      </c>
      <c r="I74" s="350" t="s">
        <v>2631</v>
      </c>
      <c r="J74" s="350" t="s">
        <v>15547</v>
      </c>
      <c r="K74" s="267"/>
      <c r="L74" s="267"/>
      <c r="M74" s="267"/>
      <c r="N74" s="267"/>
      <c r="O74" s="267"/>
      <c r="P74" s="219"/>
      <c r="Q74" s="268"/>
      <c r="R74" s="216" t="str">
        <f ca="1">IF(ISERROR($V74),"",OFFSET('Smelter Look-up'!$C$4,$V74-4,0)&amp;"")</f>
        <v>Bangko Sentral ng Pilipinas (Central Bank of the Philippines)</v>
      </c>
      <c r="S74" s="224" t="str">
        <f t="shared" ca="1" si="3"/>
        <v>PH</v>
      </c>
      <c r="T74" s="224" t="str">
        <f ca="1">IF(B74="","",IF(ISERROR(MATCH($J74,SorP!$B$1:$B$6230,0)),"",INDIRECT("'SorP'!$A$"&amp;MATCH($J74,SorP!$B$1:$B$6230,0))))</f>
        <v/>
      </c>
      <c r="U74" s="239"/>
      <c r="V74" s="269">
        <f>IF(C74="",NA(),MATCH($B74&amp;$C74,'Smelter Look-up'!$J:$J,0))</f>
        <v>35</v>
      </c>
      <c r="W74" s="270"/>
      <c r="X74" s="270">
        <f t="shared" si="4"/>
        <v>0</v>
      </c>
      <c r="Y74" s="270"/>
      <c r="Z74" s="270"/>
      <c r="AB74" s="272" t="str">
        <f t="shared" si="5"/>
        <v>GoldBangko Sentral ng Pilipinas (Central Bank of the Philippines)</v>
      </c>
    </row>
    <row r="75" spans="1:28" s="271" customFormat="1" ht="81">
      <c r="A75" s="215"/>
      <c r="B75" s="347" t="s">
        <v>1250</v>
      </c>
      <c r="C75" s="347" t="s">
        <v>15548</v>
      </c>
      <c r="D75" s="348" t="s">
        <v>15548</v>
      </c>
      <c r="E75" s="348" t="s">
        <v>1220</v>
      </c>
      <c r="F75" s="348" t="s">
        <v>779</v>
      </c>
      <c r="G75" s="348" t="s">
        <v>15496</v>
      </c>
      <c r="H75" s="349">
        <v>0</v>
      </c>
      <c r="I75" s="350" t="s">
        <v>1835</v>
      </c>
      <c r="J75" s="350" t="s">
        <v>15549</v>
      </c>
      <c r="K75" s="267"/>
      <c r="L75" s="267"/>
      <c r="M75" s="267"/>
      <c r="N75" s="267"/>
      <c r="O75" s="267"/>
      <c r="P75" s="219"/>
      <c r="Q75" s="268"/>
      <c r="R75" s="216" t="str">
        <f ca="1">IF(ISERROR($V75),"",OFFSET('Smelter Look-up'!$C$4,$V75-4,0)&amp;"")</f>
        <v/>
      </c>
      <c r="S75" s="224" t="str">
        <f t="shared" ca="1" si="3"/>
        <v>CN</v>
      </c>
      <c r="T75" s="224" t="str">
        <f ca="1">IF(B75="","",IF(ISERROR(MATCH($J75,SorP!$B$1:$B$6230,0)),"",INDIRECT("'SorP'!$A$"&amp;MATCH($J75,SorP!$B$1:$B$6230,0))))</f>
        <v/>
      </c>
      <c r="U75" s="239"/>
      <c r="V75" s="269" t="e">
        <f>IF(C75="",NA(),MATCH($B75&amp;$C75,'Smelter Look-up'!$J:$J,0))</f>
        <v>#N/A</v>
      </c>
      <c r="W75" s="270"/>
      <c r="X75" s="270">
        <f t="shared" si="4"/>
        <v>0</v>
      </c>
      <c r="Y75" s="270"/>
      <c r="Z75" s="270"/>
      <c r="AB75" s="272" t="str">
        <f t="shared" si="5"/>
        <v>GoldJiangxi Copper Company Limited</v>
      </c>
    </row>
    <row r="76" spans="1:28" s="271" customFormat="1" ht="67.5">
      <c r="A76" s="215"/>
      <c r="B76" s="347" t="s">
        <v>1250</v>
      </c>
      <c r="C76" s="347" t="s">
        <v>1354</v>
      </c>
      <c r="D76" s="348" t="s">
        <v>1354</v>
      </c>
      <c r="E76" s="348" t="s">
        <v>1228</v>
      </c>
      <c r="F76" s="348" t="s">
        <v>776</v>
      </c>
      <c r="G76" s="348" t="s">
        <v>15496</v>
      </c>
      <c r="H76" s="349">
        <v>0</v>
      </c>
      <c r="I76" s="350" t="s">
        <v>1832</v>
      </c>
      <c r="J76" s="350" t="s">
        <v>1818</v>
      </c>
      <c r="K76" s="267"/>
      <c r="L76" s="267"/>
      <c r="M76" s="267"/>
      <c r="N76" s="267"/>
      <c r="O76" s="267"/>
      <c r="P76" s="219"/>
      <c r="Q76" s="268"/>
      <c r="R76" s="216" t="str">
        <f ca="1">IF(ISERROR($V76),"",OFFSET('Smelter Look-up'!$C$4,$V76-4,0)&amp;"")</f>
        <v>Ishifuku Metal Industry Co., Ltd.</v>
      </c>
      <c r="S76" s="224" t="str">
        <f t="shared" ca="1" si="3"/>
        <v>JP</v>
      </c>
      <c r="T76" s="224" t="str">
        <f ca="1">IF(B76="","",IF(ISERROR(MATCH($J76,SorP!$B$1:$B$6230,0)),"",INDIRECT("'SorP'!$A$"&amp;MATCH($J76,SorP!$B$1:$B$6230,0))))</f>
        <v>JP-11</v>
      </c>
      <c r="U76" s="239"/>
      <c r="V76" s="269">
        <f>IF(C76="",NA(),MATCH($B76&amp;$C76,'Smelter Look-up'!$J:$J,0))</f>
        <v>101</v>
      </c>
      <c r="W76" s="270"/>
      <c r="X76" s="270">
        <f t="shared" si="4"/>
        <v>0</v>
      </c>
      <c r="Y76" s="270"/>
      <c r="Z76" s="270"/>
      <c r="AB76" s="272" t="str">
        <f t="shared" si="5"/>
        <v>GoldIshifuku Metal Industry Co., Ltd.</v>
      </c>
    </row>
    <row r="77" spans="1:28" s="271" customFormat="1" ht="81">
      <c r="A77" s="215"/>
      <c r="B77" s="347" t="s">
        <v>1250</v>
      </c>
      <c r="C77" s="347" t="s">
        <v>1360</v>
      </c>
      <c r="D77" s="348" t="s">
        <v>1455</v>
      </c>
      <c r="E77" s="348" t="s">
        <v>1220</v>
      </c>
      <c r="F77" s="348" t="s">
        <v>838</v>
      </c>
      <c r="G77" s="348" t="s">
        <v>15496</v>
      </c>
      <c r="H77" s="349">
        <v>0</v>
      </c>
      <c r="I77" s="350" t="s">
        <v>1928</v>
      </c>
      <c r="J77" s="350" t="s">
        <v>15535</v>
      </c>
      <c r="K77" s="267"/>
      <c r="L77" s="267"/>
      <c r="M77" s="267"/>
      <c r="N77" s="267"/>
      <c r="O77" s="267"/>
      <c r="P77" s="219"/>
      <c r="Q77" s="268"/>
      <c r="R77" s="216" t="str">
        <f ca="1">IF(ISERROR($V77),"",OFFSET('Smelter Look-up'!$C$4,$V77-4,0)&amp;"")</f>
        <v>Zhongyuan Gold Smelter of Zhongjin Gold Corporation</v>
      </c>
      <c r="S77" s="224" t="str">
        <f t="shared" ca="1" si="3"/>
        <v>CN</v>
      </c>
      <c r="T77" s="224" t="str">
        <f ca="1">IF(B77="","",IF(ISERROR(MATCH($J77,SorP!$B$1:$B$6230,0)),"",INDIRECT("'SorP'!$A$"&amp;MATCH($J77,SorP!$B$1:$B$6230,0))))</f>
        <v/>
      </c>
      <c r="U77" s="239"/>
      <c r="V77" s="269">
        <f>IF(C77="",NA(),MATCH($B77&amp;$C77,'Smelter Look-up'!$J:$J,0))</f>
        <v>280</v>
      </c>
      <c r="W77" s="270"/>
      <c r="X77" s="270">
        <f t="shared" si="4"/>
        <v>0</v>
      </c>
      <c r="Y77" s="270"/>
      <c r="Z77" s="270"/>
      <c r="AB77" s="272" t="str">
        <f t="shared" si="5"/>
        <v>GoldZhongjin Gold Corporation Limited</v>
      </c>
    </row>
    <row r="78" spans="1:28" s="271" customFormat="1" ht="20">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4"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4"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91" priority="76" stopIfTrue="1">
      <formula>IF(B586="",TRUE)</formula>
    </cfRule>
    <cfRule type="expression" dxfId="90" priority="87" stopIfTrue="1">
      <formula>IF(AND(COUNTIF(MetalSmelter,B586&amp;C586)=0,LEN(C586)&gt;0), TRUE, FALSE)</formula>
    </cfRule>
  </conditionalFormatting>
  <conditionalFormatting sqref="D586:D2493">
    <cfRule type="expression" dxfId="89" priority="70" stopIfTrue="1">
      <formula>IF(AND(LEN($C586) &gt;0, ($C586 &lt;&gt; "Smelter Not Listed")),1,0)</formula>
    </cfRule>
    <cfRule type="expression" dxfId="88" priority="95" stopIfTrue="1">
      <formula>IF(AND(D586="",$C586=$X$4),TRUE)</formula>
    </cfRule>
    <cfRule type="expression" dxfId="87" priority="96" stopIfTrue="1">
      <formula>IF(FIND("!",D586),TRUE)</formula>
    </cfRule>
  </conditionalFormatting>
  <conditionalFormatting sqref="G586:G2493">
    <cfRule type="expression" dxfId="86" priority="97" stopIfTrue="1">
      <formula>IF(FIND("Enter smelter details",G586),TRUE)</formula>
    </cfRule>
  </conditionalFormatting>
  <conditionalFormatting sqref="R586:R2494 E586:E2493">
    <cfRule type="expression" dxfId="85" priority="83" stopIfTrue="1">
      <formula>IF(AND(E586="",$C586=$X$4),TRUE)</formula>
    </cfRule>
    <cfRule type="expression" dxfId="84" priority="84" stopIfTrue="1">
      <formula>IF(FIND("!",E586),TRUE)</formula>
    </cfRule>
  </conditionalFormatting>
  <conditionalFormatting sqref="F586:F2493">
    <cfRule type="expression" dxfId="83" priority="74" stopIfTrue="1">
      <formula>IF(AND(LEN($A586)&gt;0,$A586&lt;&gt;$F586),TRUE,FALSE)</formula>
    </cfRule>
  </conditionalFormatting>
  <conditionalFormatting sqref="C586:C2493">
    <cfRule type="expression" dxfId="82" priority="73" stopIfTrue="1">
      <formula>IF(AND(B586&lt;&gt;"",C586=""),TRUE)</formula>
    </cfRule>
  </conditionalFormatting>
  <conditionalFormatting sqref="B78:B585">
    <cfRule type="expression" dxfId="81" priority="52" stopIfTrue="1">
      <formula>IF(B78="",TRUE)</formula>
    </cfRule>
    <cfRule type="expression" dxfId="80" priority="55" stopIfTrue="1">
      <formula>IF(AND(COUNTIF(MetalSmelter,B78&amp;C78)=0,LEN(C78)&gt;0), TRUE, FALSE)</formula>
    </cfRule>
  </conditionalFormatting>
  <conditionalFormatting sqref="D78:D585">
    <cfRule type="expression" dxfId="79" priority="49" stopIfTrue="1">
      <formula>IF(AND(LEN($C78) &gt;0, ($C78 &lt;&gt; "Smelter Not Listed")),1,0)</formula>
    </cfRule>
    <cfRule type="expression" dxfId="78" priority="56" stopIfTrue="1">
      <formula>IF(AND(D78="",$C78=$X$4),TRUE)</formula>
    </cfRule>
    <cfRule type="expression" dxfId="77" priority="57" stopIfTrue="1">
      <formula>IF(FIND("!",D78),TRUE)</formula>
    </cfRule>
  </conditionalFormatting>
  <conditionalFormatting sqref="G78:G585">
    <cfRule type="expression" dxfId="76" priority="58" stopIfTrue="1">
      <formula>IF(FIND("Enter smelter details",G78),TRUE)</formula>
    </cfRule>
  </conditionalFormatting>
  <conditionalFormatting sqref="R5:R585 E78:E585">
    <cfRule type="expression" dxfId="75" priority="53" stopIfTrue="1">
      <formula>IF(AND(E5="",$C5=$X$4),TRUE)</formula>
    </cfRule>
    <cfRule type="expression" dxfId="74" priority="54" stopIfTrue="1">
      <formula>IF(FIND("!",E5),TRUE)</formula>
    </cfRule>
  </conditionalFormatting>
  <conditionalFormatting sqref="F78:F585">
    <cfRule type="expression" dxfId="73" priority="51" stopIfTrue="1">
      <formula>IF(AND(LEN($A78)&gt;0,$A78&lt;&gt;$F78),TRUE,FALSE)</formula>
    </cfRule>
  </conditionalFormatting>
  <conditionalFormatting sqref="C78:C585">
    <cfRule type="expression" dxfId="72" priority="50" stopIfTrue="1">
      <formula>IF(AND(B78&lt;&gt;"",C78=""),TRUE)</formula>
    </cfRule>
  </conditionalFormatting>
  <conditionalFormatting sqref="B5:B7">
    <cfRule type="expression" dxfId="71" priority="45" stopIfTrue="1">
      <formula>IF(AND(A5&lt;&gt;"",B5=""),TRUE)</formula>
    </cfRule>
  </conditionalFormatting>
  <conditionalFormatting sqref="C7">
    <cfRule type="expression" dxfId="70" priority="46" stopIfTrue="1">
      <formula>IF(AND(C7="",$C7=$U$4),TRUE)</formula>
    </cfRule>
    <cfRule type="expression" dxfId="69" priority="47" stopIfTrue="1">
      <formula>IF(FIND("!",C7),TRUE)</formula>
    </cfRule>
  </conditionalFormatting>
  <conditionalFormatting sqref="F7">
    <cfRule type="expression" dxfId="68" priority="48" stopIfTrue="1">
      <formula>IF(FIND("Enter smelter details",F7),TRUE)</formula>
    </cfRule>
  </conditionalFormatting>
  <conditionalFormatting sqref="D7">
    <cfRule type="expression" dxfId="67" priority="43" stopIfTrue="1">
      <formula>IF(AND(D7="",$C7=$U$4),TRUE)</formula>
    </cfRule>
    <cfRule type="expression" dxfId="66" priority="44" stopIfTrue="1">
      <formula>IF(FIND("!",D7),TRUE)</formula>
    </cfRule>
  </conditionalFormatting>
  <conditionalFormatting sqref="B8:B77">
    <cfRule type="expression" dxfId="65" priority="39" stopIfTrue="1">
      <formula>IF(AND(A8&lt;&gt;"",B8=""),TRUE)</formula>
    </cfRule>
  </conditionalFormatting>
  <conditionalFormatting sqref="C8:C77">
    <cfRule type="expression" dxfId="64" priority="40" stopIfTrue="1">
      <formula>IF(AND(C8="",$C8=$U$4),TRUE)</formula>
    </cfRule>
    <cfRule type="expression" dxfId="63" priority="41" stopIfTrue="1">
      <formula>IF(FIND("!",C8),TRUE)</formula>
    </cfRule>
  </conditionalFormatting>
  <conditionalFormatting sqref="F8:F77">
    <cfRule type="expression" dxfId="62" priority="42" stopIfTrue="1">
      <formula>IF(FIND("Enter smelter details",F8),TRUE)</formula>
    </cfRule>
  </conditionalFormatting>
  <conditionalFormatting sqref="D8:D77">
    <cfRule type="expression" dxfId="61" priority="37" stopIfTrue="1">
      <formula>IF(AND(D8="",$C8=$U$4),TRUE)</formula>
    </cfRule>
    <cfRule type="expression" dxfId="60" priority="38" stopIfTrue="1">
      <formula>IF(FIND("!",D8),TRUE)</formula>
    </cfRule>
  </conditionalFormatting>
  <conditionalFormatting sqref="B5:B7">
    <cfRule type="expression" dxfId="59" priority="29" stopIfTrue="1">
      <formula>IF(B5="",TRUE)</formula>
    </cfRule>
    <cfRule type="expression" dxfId="58" priority="32" stopIfTrue="1">
      <formula>IF(AND(COUNTIF(MetalSmelter,B5&amp;C5)=0,LEN(C5)&gt;0), TRUE, FALSE)</formula>
    </cfRule>
  </conditionalFormatting>
  <conditionalFormatting sqref="C7">
    <cfRule type="expression" dxfId="57" priority="33" stopIfTrue="1">
      <formula>IF(AND(B7&lt;&gt;"",C7=""),TRUE)</formula>
    </cfRule>
  </conditionalFormatting>
  <conditionalFormatting sqref="D7">
    <cfRule type="expression" dxfId="56" priority="34" stopIfTrue="1">
      <formula>IF(AND(D7="",$C7=$U$4),TRUE)</formula>
    </cfRule>
    <cfRule type="expression" dxfId="55" priority="35" stopIfTrue="1">
      <formula>IF(FIND("!",D7),TRUE)</formula>
    </cfRule>
  </conditionalFormatting>
  <conditionalFormatting sqref="G7">
    <cfRule type="expression" dxfId="54" priority="36" stopIfTrue="1">
      <formula>IF(FIND("Enter smelter details",G7),TRUE)</formula>
    </cfRule>
  </conditionalFormatting>
  <conditionalFormatting sqref="E6:E7">
    <cfRule type="expression" dxfId="53" priority="30" stopIfTrue="1">
      <formula>IF(AND(E6="",$C6=$U$4),TRUE)</formula>
    </cfRule>
    <cfRule type="expression" dxfId="52" priority="31" stopIfTrue="1">
      <formula>IF(FIND("!",E6),TRUE)</formula>
    </cfRule>
  </conditionalFormatting>
  <conditionalFormatting sqref="B8:B77">
    <cfRule type="expression" dxfId="51" priority="21" stopIfTrue="1">
      <formula>IF(B8="",TRUE)</formula>
    </cfRule>
    <cfRule type="expression" dxfId="50" priority="24" stopIfTrue="1">
      <formula>IF(AND(COUNTIF(MetalSmelter,B8&amp;C8)=0,LEN(C8)&gt;0), TRUE, FALSE)</formula>
    </cfRule>
  </conditionalFormatting>
  <conditionalFormatting sqref="C8:C77">
    <cfRule type="expression" dxfId="49" priority="25" stopIfTrue="1">
      <formula>IF(AND(B8&lt;&gt;"",C8=""),TRUE)</formula>
    </cfRule>
  </conditionalFormatting>
  <conditionalFormatting sqref="D8:D77">
    <cfRule type="expression" dxfId="48" priority="26" stopIfTrue="1">
      <formula>IF(AND(D8="",$C8=$U$4),TRUE)</formula>
    </cfRule>
    <cfRule type="expression" dxfId="47" priority="27" stopIfTrue="1">
      <formula>IF(FIND("!",D8),TRUE)</formula>
    </cfRule>
  </conditionalFormatting>
  <conditionalFormatting sqref="G8:G77">
    <cfRule type="expression" dxfId="46" priority="28" stopIfTrue="1">
      <formula>IF(FIND("Enter smelter details",G8),TRUE)</formula>
    </cfRule>
  </conditionalFormatting>
  <conditionalFormatting sqref="E8:E77">
    <cfRule type="expression" dxfId="45" priority="22" stopIfTrue="1">
      <formula>IF(AND(E8="",$C8=$U$4),TRUE)</formula>
    </cfRule>
    <cfRule type="expression" dxfId="44" priority="23" stopIfTrue="1">
      <formula>IF(FIND("!",E8),TRUE)</formula>
    </cfRule>
  </conditionalFormatting>
  <conditionalFormatting sqref="C5">
    <cfRule type="expression" dxfId="43" priority="19" stopIfTrue="1">
      <formula>IF(AND(C5="",$C5=$U$4),TRUE)</formula>
    </cfRule>
    <cfRule type="expression" dxfId="42" priority="20" stopIfTrue="1">
      <formula>IF(FIND("!",C5),TRUE)</formula>
    </cfRule>
  </conditionalFormatting>
  <conditionalFormatting sqref="C5">
    <cfRule type="expression" dxfId="41" priority="18" stopIfTrue="1">
      <formula>IF(AND(B5&lt;&gt;"",C5=""),TRUE)</formula>
    </cfRule>
  </conditionalFormatting>
  <conditionalFormatting sqref="C6">
    <cfRule type="expression" dxfId="40" priority="16" stopIfTrue="1">
      <formula>IF(AND(C6="",$C6=$U$4),TRUE)</formula>
    </cfRule>
    <cfRule type="expression" dxfId="39" priority="17" stopIfTrue="1">
      <formula>IF(FIND("!",C6),TRUE)</formula>
    </cfRule>
  </conditionalFormatting>
  <conditionalFormatting sqref="C6">
    <cfRule type="expression" dxfId="38" priority="15" stopIfTrue="1">
      <formula>IF(AND(B6&lt;&gt;"",C6=""),TRUE)</formula>
    </cfRule>
  </conditionalFormatting>
  <conditionalFormatting sqref="D6">
    <cfRule type="expression" dxfId="37" priority="13" stopIfTrue="1">
      <formula>IF(AND(D6="",$C6=$U$4),TRUE)</formula>
    </cfRule>
    <cfRule type="expression" dxfId="36" priority="14" stopIfTrue="1">
      <formula>IF(FIND("!",D6),TRUE)</formula>
    </cfRule>
  </conditionalFormatting>
  <conditionalFormatting sqref="D6">
    <cfRule type="expression" dxfId="35" priority="11" stopIfTrue="1">
      <formula>IF(AND(D6="",$C6=$U$4),TRUE)</formula>
    </cfRule>
    <cfRule type="expression" dxfId="34" priority="12" stopIfTrue="1">
      <formula>IF(FIND("!",D6),TRUE)</formula>
    </cfRule>
  </conditionalFormatting>
  <conditionalFormatting sqref="D5">
    <cfRule type="expression" dxfId="33" priority="9" stopIfTrue="1">
      <formula>IF(AND(D5="",$C5=$U$4),TRUE)</formula>
    </cfRule>
    <cfRule type="expression" dxfId="32" priority="10" stopIfTrue="1">
      <formula>IF(FIND("!",D5),TRUE)</formula>
    </cfRule>
  </conditionalFormatting>
  <conditionalFormatting sqref="D5">
    <cfRule type="expression" dxfId="31" priority="7" stopIfTrue="1">
      <formula>IF(AND(D5="",$C5=$U$4),TRUE)</formula>
    </cfRule>
    <cfRule type="expression" dxfId="30" priority="8" stopIfTrue="1">
      <formula>IF(FIND("!",D5),TRUE)</formula>
    </cfRule>
  </conditionalFormatting>
  <conditionalFormatting sqref="E5">
    <cfRule type="expression" dxfId="29" priority="5" stopIfTrue="1">
      <formula>IF(AND(E5="",$C5=$U$4),TRUE)</formula>
    </cfRule>
    <cfRule type="expression" dxfId="28" priority="6" stopIfTrue="1">
      <formula>IF(FIND("!",E5),TRUE)</formula>
    </cfRule>
  </conditionalFormatting>
  <conditionalFormatting sqref="F6">
    <cfRule type="expression" dxfId="27" priority="4" stopIfTrue="1">
      <formula>IF(FIND("Enter smelter details",F6),TRUE)</formula>
    </cfRule>
  </conditionalFormatting>
  <conditionalFormatting sqref="F5">
    <cfRule type="expression" dxfId="26" priority="3" stopIfTrue="1">
      <formula>IF(FIND("Enter smelter details",F5),TRUE)</formula>
    </cfRule>
  </conditionalFormatting>
  <conditionalFormatting sqref="G6">
    <cfRule type="expression" dxfId="25" priority="2" stopIfTrue="1">
      <formula>IF(FIND("Enter smelter details",G6),TRUE)</formula>
    </cfRule>
  </conditionalFormatting>
  <conditionalFormatting sqref="G5">
    <cfRule type="expression" dxfId="24" priority="1" stopIfTrue="1">
      <formula>IF(FIND("Enter smelter details",G5),TRUE)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D62" sqref="D62"/>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Vincent Associates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Steven Inman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sinman@uniblitz.com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t="str">
        <f>Declaration!D17</f>
        <v>(585) 385-5930 x122</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Stephen Pasquarella</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spasq@uniblitz.com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t="str">
        <f>Declaration!D21</f>
        <v>(585) 385-5930 x 122</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43863</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t="str">
        <f>IF(AND($B$16="Yes",$B$21="Yes"),Declaration!D39,0)</f>
        <v>Unknown</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t="str">
        <f>IF(AND($B$17="Yes",$B$22="Yes"),Declaration!D40,0)</f>
        <v>Unknown</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Tantalum  (*)</v>
      </c>
      <c r="B30" s="105" t="str">
        <f>IF(AND($B$15="Yes",$B$20="Yes"),Declaration!D44,0)</f>
        <v>Unknown</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t="str">
        <f>IF(AND($B$16="Yes",$B$21="Yes"),Declaration!D45,0)</f>
        <v>Unknown</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t="str">
        <f>IF(AND($B$17="Yes",$B$22="Yes"),Declaration!D46,0)</f>
        <v>Unknown</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Tantalum  (*)</v>
      </c>
      <c r="B35" s="105" t="str">
        <f>IF(AND($B$15="Yes",$B$20="Yes"),Declaration!D50,0)</f>
        <v>Greater than 75%</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t="str">
        <f>IF(AND($B$16="Yes",$B$21="Yes"),Declaration!D51,0)</f>
        <v>Greater than 75%</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t="str">
        <f>IF(AND($B$17="Yes",$B$22="Yes"),Declaration!D52,0)</f>
        <v>Greater than 75%</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t="str">
        <f>Declaration!G71</f>
        <v>www.uniblitz.com</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 ca="1">IF(F66=0,J66,IF(G66=0,I66,L66))</f>
        <v>Complete</v>
      </c>
      <c r="D66" s="111"/>
      <c r="E66" s="87"/>
      <c r="F66" s="110">
        <f>IF(COUNTIF('Smelter List'!C5:C2493,"Smelter not listed")=0,0,1)</f>
        <v>1</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9" activePane="bottomRight" state="frozen"/>
      <selection pane="topRight" activeCell="C1" sqref="C1"/>
      <selection pane="bottomLeft" activeCell="A6" sqref="A6"/>
      <selection pane="bottomRight" activeCell="B6" sqref="B6"/>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48" t="str">
        <f ca="1">OFFSET(L!$C$1,MATCH("Product List"&amp;ADDRESS(ROW(),COLUMN(),4),L!$A:$A,0)-1,SL,,)</f>
        <v>Completion required only if reporting level "Product (or List of Products)" selected on the 'Declaration' worksheet.</v>
      </c>
      <c r="B1" s="449"/>
      <c r="C1" s="449"/>
      <c r="D1" s="449"/>
      <c r="E1" s="149"/>
    </row>
    <row r="2" spans="1:6">
      <c r="A2" s="29"/>
      <c r="B2" s="151"/>
      <c r="C2" s="151"/>
      <c r="D2"/>
      <c r="E2" s="30"/>
    </row>
    <row r="3" spans="1:6">
      <c r="A3" s="29"/>
      <c r="B3" s="151"/>
      <c r="C3" s="151"/>
      <c r="D3" s="151"/>
      <c r="E3" s="30"/>
    </row>
    <row r="4" spans="1:6" ht="15.75" customHeight="1">
      <c r="A4" s="29"/>
      <c r="B4" s="447" t="s">
        <v>1014</v>
      </c>
      <c r="C4" s="447"/>
      <c r="D4" s="447"/>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50" t="str">
        <f ca="1">OFFSET(L!$C$1,MATCH("General"&amp;"Cpy",L!$A:$A,0)-1,SL,,)</f>
        <v>© 2019 Responsible Minerals Initiative. All rights reserved.</v>
      </c>
      <c r="C1001" s="450"/>
      <c r="D1001" s="450"/>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356" activePane="bottomLeft" state="frozen"/>
      <selection pane="bottomLeft" activeCell="F322" sqref="F322"/>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65"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ht="13.5" customHeight="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3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3">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Alex Pasquarella</cp:lastModifiedBy>
  <cp:lastPrinted>2015-04-21T20:47:43Z</cp:lastPrinted>
  <dcterms:created xsi:type="dcterms:W3CDTF">2010-06-21T21:00:23Z</dcterms:created>
  <dcterms:modified xsi:type="dcterms:W3CDTF">2020-02-17T18:38:08Z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